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2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C107" i="1" l="1"/>
  <c r="BD105" i="1"/>
  <c r="BF105" i="1"/>
  <c r="AY107" i="1"/>
  <c r="BB105" i="1"/>
  <c r="AZ105" i="1"/>
  <c r="BD104" i="1"/>
  <c r="BF104" i="1"/>
  <c r="BF99" i="1"/>
  <c r="BF100" i="1"/>
  <c r="BF98" i="1"/>
  <c r="BD101" i="1"/>
  <c r="BD102" i="1"/>
  <c r="BD103" i="1"/>
  <c r="BD96" i="1"/>
  <c r="BD97" i="1"/>
  <c r="BD95" i="1"/>
  <c r="BC102" i="1"/>
  <c r="BC103" i="1"/>
  <c r="BC101" i="1"/>
  <c r="BE99" i="1"/>
  <c r="BE100" i="1"/>
  <c r="BE98" i="1"/>
  <c r="BC97" i="1"/>
  <c r="BC96" i="1"/>
  <c r="BC95" i="1"/>
  <c r="BB104" i="1"/>
  <c r="AZ104" i="1"/>
  <c r="BB99" i="1"/>
  <c r="BB100" i="1"/>
  <c r="BB98" i="1"/>
  <c r="BA99" i="1"/>
  <c r="BA100" i="1"/>
  <c r="BA98" i="1"/>
  <c r="AZ101" i="1"/>
  <c r="AZ102" i="1"/>
  <c r="AZ103" i="1"/>
  <c r="AZ96" i="1"/>
  <c r="AZ97" i="1"/>
  <c r="AZ95" i="1"/>
  <c r="AY102" i="1"/>
  <c r="AY103" i="1"/>
  <c r="AY101" i="1"/>
  <c r="AY97" i="1"/>
  <c r="AY96" i="1"/>
  <c r="AY95" i="1"/>
  <c r="AU49" i="1" l="1"/>
  <c r="AU45" i="1"/>
  <c r="AT57" i="1"/>
  <c r="AU67" i="1"/>
  <c r="AU65" i="1"/>
  <c r="AU64" i="1"/>
  <c r="AU43" i="1"/>
  <c r="AZ75" i="1"/>
  <c r="AY75" i="1"/>
  <c r="BD69" i="1"/>
  <c r="BD70" i="1" s="1"/>
  <c r="AZ59" i="1"/>
  <c r="BA59" i="1"/>
  <c r="BA60" i="1" s="1"/>
  <c r="BB59" i="1"/>
  <c r="BB60" i="1" s="1"/>
  <c r="BC59" i="1"/>
  <c r="BC60" i="1" s="1"/>
  <c r="BD59" i="1"/>
  <c r="BD60" i="1" s="1"/>
  <c r="BE59" i="1"/>
  <c r="BE60" i="1" s="1"/>
  <c r="AY59" i="1"/>
  <c r="AZ64" i="1"/>
  <c r="AZ65" i="1" s="1"/>
  <c r="BA64" i="1"/>
  <c r="BA65" i="1" s="1"/>
  <c r="BB64" i="1"/>
  <c r="BC64" i="1"/>
  <c r="BD64" i="1"/>
  <c r="BE64" i="1"/>
  <c r="AY64" i="1"/>
  <c r="AY65" i="1" s="1"/>
  <c r="BE69" i="1"/>
  <c r="BE70" i="1" s="1"/>
  <c r="BB65" i="1"/>
  <c r="BC65" i="1"/>
  <c r="AY41" i="1"/>
  <c r="AY42" i="1" s="1"/>
  <c r="AZ53" i="1"/>
  <c r="AZ54" i="1" s="1"/>
  <c r="BA53" i="1"/>
  <c r="BA54" i="1" s="1"/>
  <c r="BB53" i="1"/>
  <c r="BB54" i="1" s="1"/>
  <c r="BC53" i="1"/>
  <c r="BC54" i="1" s="1"/>
  <c r="BD53" i="1"/>
  <c r="BD54" i="1" s="1"/>
  <c r="BE53" i="1"/>
  <c r="BE54" i="1" s="1"/>
  <c r="AY53" i="1"/>
  <c r="AY54" i="1" s="1"/>
  <c r="AV53" i="1"/>
  <c r="AY35" i="1"/>
  <c r="AY36" i="1" s="1"/>
  <c r="AY46" i="1"/>
  <c r="AZ41" i="1"/>
  <c r="AZ46" i="1" s="1"/>
  <c r="BA41" i="1"/>
  <c r="BA42" i="1" s="1"/>
  <c r="BB41" i="1"/>
  <c r="BB50" i="1" s="1"/>
  <c r="AZ35" i="1"/>
  <c r="AZ36" i="1" s="1"/>
  <c r="BA35" i="1"/>
  <c r="BA36" i="1" s="1"/>
  <c r="BB35" i="1"/>
  <c r="BB36" i="1" s="1"/>
  <c r="AX25" i="1"/>
  <c r="AZ67" i="1" l="1"/>
  <c r="AZ57" i="1"/>
  <c r="AZ62" i="1"/>
  <c r="BC62" i="1"/>
  <c r="BC57" i="1"/>
  <c r="BC67" i="1"/>
  <c r="AY48" i="1"/>
  <c r="AY44" i="1"/>
  <c r="AY39" i="1"/>
  <c r="BA48" i="1"/>
  <c r="BA39" i="1"/>
  <c r="BA44" i="1"/>
  <c r="AZ44" i="1"/>
  <c r="AZ48" i="1"/>
  <c r="AZ39" i="1"/>
  <c r="AY62" i="1"/>
  <c r="AY57" i="1"/>
  <c r="AY67" i="1"/>
  <c r="BB57" i="1"/>
  <c r="BB62" i="1"/>
  <c r="BB67" i="1"/>
  <c r="BD67" i="1"/>
  <c r="BD57" i="1"/>
  <c r="BD62" i="1"/>
  <c r="BE62" i="1"/>
  <c r="BE67" i="1"/>
  <c r="BE57" i="1"/>
  <c r="BA62" i="1"/>
  <c r="BA57" i="1"/>
  <c r="BA67" i="1"/>
  <c r="AZ42" i="1"/>
  <c r="BA46" i="1"/>
  <c r="AZ50" i="1"/>
  <c r="BA50" i="1"/>
  <c r="BB42" i="1"/>
  <c r="BC41" i="1"/>
  <c r="BC50" i="1" s="1"/>
  <c r="BD41" i="1"/>
  <c r="BE41" i="1"/>
  <c r="BE50" i="1" s="1"/>
  <c r="BB48" i="1"/>
  <c r="BC35" i="1"/>
  <c r="BC36" i="1" s="1"/>
  <c r="BD35" i="1"/>
  <c r="BD36" i="1" s="1"/>
  <c r="BD48" i="1" s="1"/>
  <c r="BE35" i="1"/>
  <c r="BE36" i="1" s="1"/>
  <c r="BE48" i="1" s="1"/>
  <c r="BE46" i="1" l="1"/>
  <c r="BE39" i="1"/>
  <c r="BE44" i="1"/>
  <c r="BE42" i="1"/>
  <c r="BC46" i="1"/>
  <c r="BC42" i="1"/>
  <c r="BD46" i="1"/>
  <c r="BD50" i="1"/>
  <c r="BD44" i="1"/>
  <c r="BD39" i="1"/>
  <c r="BC48" i="1"/>
  <c r="BC44" i="1"/>
  <c r="BC39" i="1"/>
  <c r="BB39" i="1"/>
  <c r="BD42" i="1"/>
  <c r="BB46" i="1"/>
  <c r="BB44" i="1"/>
  <c r="AZ27" i="1"/>
  <c r="BA27" i="1" l="1"/>
  <c r="BC27" i="1"/>
  <c r="AW53" i="1"/>
  <c r="BB80" i="1"/>
  <c r="BB81" i="1" s="1"/>
  <c r="BB83" i="1"/>
  <c r="BB84" i="1"/>
  <c r="AU13" i="1"/>
  <c r="AX85" i="1"/>
  <c r="AU7" i="1" s="1"/>
  <c r="AU10" i="1" l="1"/>
  <c r="AZ29" i="1"/>
  <c r="AZ28" i="1"/>
  <c r="BA29" i="1" l="1"/>
  <c r="BC29" i="1"/>
  <c r="BA28" i="1"/>
  <c r="BC28" i="1"/>
  <c r="AZ30" i="1"/>
  <c r="BC30" i="1" l="1"/>
  <c r="BA30" i="1"/>
  <c r="AU16" i="1"/>
  <c r="AY12" i="1" l="1"/>
  <c r="BC9" i="1" s="1"/>
  <c r="BC10" i="1" l="1"/>
  <c r="BC8" i="1"/>
  <c r="AX15" i="1" l="1"/>
  <c r="AX17" i="1"/>
  <c r="AX18" i="1" l="1"/>
</calcChain>
</file>

<file path=xl/sharedStrings.xml><?xml version="1.0" encoding="utf-8"?>
<sst xmlns="http://schemas.openxmlformats.org/spreadsheetml/2006/main" count="242" uniqueCount="183">
  <si>
    <t>Nudo 1  F1</t>
  </si>
  <si>
    <t>kN</t>
  </si>
  <si>
    <t>Nudo 2  F2</t>
  </si>
  <si>
    <t xml:space="preserve">Distancia entre cerchas, </t>
  </si>
  <si>
    <t>Nudo3   F3</t>
  </si>
  <si>
    <t xml:space="preserve"> Peso propio </t>
  </si>
  <si>
    <t>Nudo3   F4</t>
  </si>
  <si>
    <t xml:space="preserve">Nieve </t>
  </si>
  <si>
    <t xml:space="preserve"> Viento </t>
  </si>
  <si>
    <t xml:space="preserve">     Ra +  Rb</t>
  </si>
  <si>
    <t>Sobrecarga</t>
  </si>
  <si>
    <t>Ra*0+F1*0+F2*3+F3*6+F4*98=Rb*9</t>
  </si>
  <si>
    <t>Total carga</t>
  </si>
  <si>
    <t>Rb</t>
  </si>
  <si>
    <t>F3</t>
  </si>
  <si>
    <t>F2</t>
  </si>
  <si>
    <t>F1</t>
  </si>
  <si>
    <t>F4</t>
  </si>
  <si>
    <t>9000 mm</t>
  </si>
  <si>
    <t>3000 mm</t>
  </si>
  <si>
    <t xml:space="preserve"> barras</t>
  </si>
  <si>
    <t>f1</t>
  </si>
  <si>
    <t>f2</t>
  </si>
  <si>
    <t>f3</t>
  </si>
  <si>
    <t>f4</t>
  </si>
  <si>
    <t xml:space="preserve">Nudo </t>
  </si>
  <si>
    <t>Compresion</t>
  </si>
  <si>
    <t>Traccion</t>
  </si>
  <si>
    <t>1kN=</t>
  </si>
  <si>
    <t>ƴ=1,5</t>
  </si>
  <si>
    <t>fc,0,d</t>
  </si>
  <si>
    <t>kN/cm2</t>
  </si>
  <si>
    <t xml:space="preserve">Puntal de rollizo </t>
  </si>
  <si>
    <t>cm</t>
  </si>
  <si>
    <t>Dimensión del puntal pieza de compresión centrada</t>
  </si>
  <si>
    <t>Dimensión del puntal pieza de compresión con pandeo</t>
  </si>
  <si>
    <t>Radio de giro= I/A</t>
  </si>
  <si>
    <t>a=A^(1/2)</t>
  </si>
  <si>
    <t>Rollizo</t>
  </si>
  <si>
    <t>Cuadrado</t>
  </si>
  <si>
    <t>Momento de inercia I</t>
  </si>
  <si>
    <t>Si b=h</t>
  </si>
  <si>
    <t>I=b*h^2/6</t>
  </si>
  <si>
    <t>I=a^3/6</t>
  </si>
  <si>
    <t>Pieza rectang.</t>
  </si>
  <si>
    <t>i=(I/A)^(1/2)=</t>
  </si>
  <si>
    <t>(a^3/6/(a^2))=a/6</t>
  </si>
  <si>
    <t>ver tabla 6.1</t>
  </si>
  <si>
    <t>β=1</t>
  </si>
  <si>
    <t>Esbeltez mecánica</t>
  </si>
  <si>
    <t>δini</t>
  </si>
  <si>
    <t>δdef=dini(1+Kdif)</t>
  </si>
  <si>
    <t>madera que secea Kdef=2</t>
  </si>
  <si>
    <t>Carga 1kN/m</t>
  </si>
  <si>
    <t>W=b*h^2/6</t>
  </si>
  <si>
    <t>cm3</t>
  </si>
  <si>
    <t>cm4</t>
  </si>
  <si>
    <t>Viga 16 x16</t>
  </si>
  <si>
    <t>kN/mm2</t>
  </si>
  <si>
    <t>E0 medio</t>
  </si>
  <si>
    <t>Iv=W*h/2</t>
  </si>
  <si>
    <t>5*q*L^4/E0 medio*Iv*384</t>
  </si>
  <si>
    <t>mm</t>
  </si>
  <si>
    <t>11*10^6 kN/m2</t>
  </si>
  <si>
    <t>5184*10^(-8)</t>
  </si>
  <si>
    <t>m^4</t>
  </si>
  <si>
    <t>δdef=</t>
  </si>
  <si>
    <t>Cumple n exceso&lt;L/300=</t>
  </si>
  <si>
    <t>17 mm</t>
  </si>
  <si>
    <t>Cálculo de flecha de Tirante</t>
  </si>
  <si>
    <t>Barras</t>
  </si>
  <si>
    <t>A=N/(ft,0,d</t>
  </si>
  <si>
    <t>ft,0,d</t>
  </si>
  <si>
    <t>σ/χ*fc,o,d</t>
  </si>
  <si>
    <t>σ= N/A*ƴ</t>
  </si>
  <si>
    <r>
      <t>W=</t>
    </r>
    <r>
      <rPr>
        <sz val="11"/>
        <color theme="1"/>
        <rFont val="Calibri"/>
        <family val="2"/>
      </rPr>
      <t>π*Ø^3/32</t>
    </r>
  </si>
  <si>
    <t>kN/cm4</t>
  </si>
  <si>
    <t>Fz</t>
  </si>
  <si>
    <t>Fd</t>
  </si>
  <si>
    <t>Fx</t>
  </si>
  <si>
    <r>
      <t>a&gt;Fd*cos</t>
    </r>
    <r>
      <rPr>
        <sz val="11"/>
        <color theme="1"/>
        <rFont val="Calibri"/>
        <family val="2"/>
      </rPr>
      <t>β</t>
    </r>
  </si>
  <si>
    <t xml:space="preserve">        b *fv,d</t>
  </si>
  <si>
    <r>
      <t>t&gt;Fd*cos</t>
    </r>
    <r>
      <rPr>
        <sz val="11"/>
        <color theme="1"/>
        <rFont val="Calibri"/>
        <family val="2"/>
      </rPr>
      <t>β</t>
    </r>
  </si>
  <si>
    <r>
      <t xml:space="preserve">       b *fc,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,d</t>
    </r>
  </si>
  <si>
    <t>d&gt;   Fd</t>
  </si>
  <si>
    <t>a</t>
  </si>
  <si>
    <t>t</t>
  </si>
  <si>
    <t>3001 mm</t>
  </si>
  <si>
    <t>Apoyos</t>
  </si>
  <si>
    <t>Cálculo de esfuerzos en barras</t>
  </si>
  <si>
    <t>Cargas por m2 de Cubierta</t>
  </si>
  <si>
    <t>KN/m2</t>
  </si>
  <si>
    <t>Cargas sobre nudos</t>
  </si>
  <si>
    <t>Reacciones</t>
  </si>
  <si>
    <r>
      <rPr>
        <sz val="11"/>
        <color rgb="FFFF0000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=R69-Rb</t>
    </r>
  </si>
  <si>
    <t>Esfuerzos en barras</t>
  </si>
  <si>
    <t>Esfuerzos</t>
  </si>
  <si>
    <t>Barras a compresión</t>
  </si>
  <si>
    <t>madera C18</t>
  </si>
  <si>
    <r>
      <rPr>
        <b/>
        <sz val="11"/>
        <color rgb="FF0070C0"/>
        <rFont val="Calibri"/>
        <family val="2"/>
        <scheme val="minor"/>
      </rPr>
      <t>A&gt;(N/fc,0,d)*</t>
    </r>
    <r>
      <rPr>
        <b/>
        <sz val="11"/>
        <color rgb="FF0070C0"/>
        <rFont val="Calibri"/>
        <family val="2"/>
      </rPr>
      <t>ƴ</t>
    </r>
  </si>
  <si>
    <t>A= a^2</t>
  </si>
  <si>
    <t xml:space="preserve">Madera aserrada </t>
  </si>
  <si>
    <t>Longitud  cm</t>
  </si>
  <si>
    <t>Longitud barras</t>
  </si>
  <si>
    <t>Figura 1</t>
  </si>
  <si>
    <t xml:space="preserve">Figura 1 </t>
  </si>
  <si>
    <t>Esquema general de invernadero</t>
  </si>
  <si>
    <r>
      <t>Mom inercia</t>
    </r>
    <r>
      <rPr>
        <b/>
        <sz val="11"/>
        <color rgb="FFFF0000"/>
        <rFont val="Calibri"/>
        <family val="2"/>
        <scheme val="minor"/>
      </rPr>
      <t xml:space="preserve"> I</t>
    </r>
  </si>
  <si>
    <r>
      <t xml:space="preserve">Radio  giro </t>
    </r>
    <r>
      <rPr>
        <b/>
        <sz val="11"/>
        <color rgb="FFFF0000"/>
        <rFont val="Calibri"/>
        <family val="2"/>
        <scheme val="minor"/>
      </rPr>
      <t xml:space="preserve"> i</t>
    </r>
  </si>
  <si>
    <r>
      <t>Lk=</t>
    </r>
    <r>
      <rPr>
        <sz val="11"/>
        <color theme="1"/>
        <rFont val="Calibri"/>
        <family val="2"/>
      </rPr>
      <t xml:space="preserve">βL   </t>
    </r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</si>
  <si>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A      cm2</t>
    </r>
  </si>
  <si>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=A^1/2     cm</t>
    </r>
  </si>
  <si>
    <r>
      <t>A=</t>
    </r>
    <r>
      <rPr>
        <sz val="11"/>
        <color theme="1"/>
        <rFont val="Calibri"/>
        <family val="2"/>
      </rPr>
      <t>π*d^2/4</t>
    </r>
  </si>
  <si>
    <r>
      <rPr>
        <b/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=(4*A/3,1416)^(1/2)</t>
    </r>
  </si>
  <si>
    <t>Lk</t>
  </si>
  <si>
    <r>
      <t xml:space="preserve">       </t>
    </r>
    <r>
      <rPr>
        <b/>
        <sz val="11"/>
        <color rgb="FFFF0000"/>
        <rFont val="Calibri"/>
        <family val="2"/>
        <scheme val="minor"/>
      </rPr>
      <t>λ</t>
    </r>
    <r>
      <rPr>
        <sz val="11"/>
        <color theme="1"/>
        <rFont val="Calibri"/>
        <family val="2"/>
        <scheme val="minor"/>
      </rPr>
      <t>=lk/i</t>
    </r>
  </si>
  <si>
    <r>
      <t xml:space="preserve">            </t>
    </r>
    <r>
      <rPr>
        <sz val="11"/>
        <color rgb="FFFF0000"/>
        <rFont val="Calibri"/>
        <family val="2"/>
        <scheme val="minor"/>
      </rPr>
      <t>χc</t>
    </r>
  </si>
  <si>
    <t xml:space="preserve">            σ</t>
  </si>
  <si>
    <t>2 e. Articulados</t>
  </si>
  <si>
    <t>0,65*18/1,3</t>
  </si>
  <si>
    <t>N/mm2</t>
  </si>
  <si>
    <t>no</t>
  </si>
  <si>
    <t xml:space="preserve">               Ø</t>
  </si>
  <si>
    <t>Lk= L*β</t>
  </si>
  <si>
    <t>Mom. Inercia I</t>
  </si>
  <si>
    <t>Radio de giro i</t>
  </si>
  <si>
    <t xml:space="preserve">             </t>
  </si>
  <si>
    <t>π*Ø^4/64/(Ø/2)=π*Ø^3/32</t>
  </si>
  <si>
    <r>
      <rPr>
        <b/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=I/Ø/2=</t>
    </r>
  </si>
  <si>
    <t>σ</t>
  </si>
  <si>
    <t xml:space="preserve">           σ</t>
  </si>
  <si>
    <t>Dimensión piezas a tracción</t>
  </si>
  <si>
    <t>L</t>
  </si>
  <si>
    <t>Esfuerzo</t>
  </si>
  <si>
    <t>28 kN</t>
  </si>
  <si>
    <t>σ,0,d &lt; ft,0,d</t>
  </si>
  <si>
    <t>kN/cm2 =10N/mm2</t>
  </si>
  <si>
    <t xml:space="preserve">         Ø=12</t>
  </si>
  <si>
    <t>A Tracción</t>
  </si>
  <si>
    <t>A compresión</t>
  </si>
  <si>
    <t>Dimension adoptada para barras en cm</t>
  </si>
  <si>
    <t>Rollizo  Ø</t>
  </si>
  <si>
    <t>Rollizo     Ø</t>
  </si>
  <si>
    <t>Cuadrado cm</t>
  </si>
  <si>
    <t>Cuadrado  cm</t>
  </si>
  <si>
    <t>Embarbillado doble</t>
  </si>
  <si>
    <t>t1&lt;h/6</t>
  </si>
  <si>
    <t>t2&lt;h/4</t>
  </si>
  <si>
    <t>t1&lt;t2-10 mm</t>
  </si>
  <si>
    <t>longitud del cogote a</t>
  </si>
  <si>
    <t>profundidad de la barbilla</t>
  </si>
  <si>
    <t>Altura de la sección del par</t>
  </si>
  <si>
    <r>
      <t>a&gt;Fd cos</t>
    </r>
    <r>
      <rPr>
        <sz val="11"/>
        <color theme="1"/>
        <rFont val="Calibri"/>
        <family val="2"/>
      </rPr>
      <t>β/b fv,d</t>
    </r>
  </si>
  <si>
    <t>cos β</t>
  </si>
  <si>
    <t>Fd     ( kN )</t>
  </si>
  <si>
    <t>fv,k    N/mm2</t>
  </si>
  <si>
    <t>t=t1 + t2</t>
  </si>
  <si>
    <r>
      <t>t&gt;Fd cos</t>
    </r>
    <r>
      <rPr>
        <sz val="11"/>
        <color theme="1"/>
        <rFont val="Calibri"/>
        <family val="2"/>
      </rPr>
      <t>β/b fc,α,d</t>
    </r>
  </si>
  <si>
    <t>d&gt;</t>
  </si>
  <si>
    <t xml:space="preserve"> fc,α,d= fc,u,d/</t>
  </si>
  <si>
    <t>fc,u,d/fc,90,d*sen^α+cos`^2α</t>
  </si>
  <si>
    <t>fc,90,d</t>
  </si>
  <si>
    <t>cos`^2α</t>
  </si>
  <si>
    <t>sen^2α</t>
  </si>
  <si>
    <t xml:space="preserve">fc,u,d  </t>
  </si>
  <si>
    <t>α=3/4 β</t>
  </si>
  <si>
    <t xml:space="preserve">        fc,α,d  =</t>
  </si>
  <si>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 mm</t>
    </r>
  </si>
  <si>
    <r>
      <rPr>
        <b/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&gt;Fd </t>
    </r>
    <r>
      <rPr>
        <sz val="11"/>
        <color theme="1"/>
        <rFont val="Calibri"/>
        <family val="2"/>
      </rPr>
      <t>/b*fc,α,d</t>
    </r>
  </si>
  <si>
    <r>
      <t xml:space="preserve">Empalme </t>
    </r>
    <r>
      <rPr>
        <sz val="11"/>
        <color rgb="FFFF0000"/>
        <rFont val="Calibri"/>
        <family val="2"/>
        <scheme val="minor"/>
      </rPr>
      <t>par-tirante</t>
    </r>
  </si>
  <si>
    <t>A=(tracción/fc,0,d)*1,5</t>
  </si>
  <si>
    <t>Figura 2</t>
  </si>
  <si>
    <t>Figura 3</t>
  </si>
  <si>
    <t>Volúmen de madera aserrada</t>
  </si>
  <si>
    <t>2500 mm</t>
  </si>
  <si>
    <t xml:space="preserve">Pilares igual dimensión que barra 2 </t>
  </si>
  <si>
    <t>Pilares</t>
  </si>
  <si>
    <t xml:space="preserve">Compresión </t>
  </si>
  <si>
    <t xml:space="preserve">Tracción </t>
  </si>
  <si>
    <t>m3</t>
  </si>
  <si>
    <t>Vol /cercha</t>
  </si>
  <si>
    <t>Vol total</t>
  </si>
  <si>
    <t>5 cerchas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</si>
</sst>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7" fillId="0" borderId="0" xfId="0" applyFont="1"/>
    <xf numFmtId="1" fontId="0" fillId="0" borderId="0" xfId="0" applyNumberFormat="1"/>
    <xf numFmtId="165" fontId="0" fillId="0" borderId="0" xfId="0" applyNumberFormat="1"/>
    <xf numFmtId="0" fontId="4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164" fontId="1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2" fontId="3" fillId="0" borderId="0" xfId="0" applyNumberFormat="1" applyFont="1"/>
    <xf numFmtId="2" fontId="15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17</xdr:row>
      <xdr:rowOff>107950</xdr:rowOff>
    </xdr:from>
    <xdr:to>
      <xdr:col>1</xdr:col>
      <xdr:colOff>130175</xdr:colOff>
      <xdr:row>20</xdr:row>
      <xdr:rowOff>76200</xdr:rowOff>
    </xdr:to>
    <xdr:cxnSp macro="">
      <xdr:nvCxnSpPr>
        <xdr:cNvPr id="72" name="71 Conector recto de flecha"/>
        <xdr:cNvCxnSpPr/>
      </xdr:nvCxnSpPr>
      <xdr:spPr>
        <a:xfrm>
          <a:off x="273050" y="2698750"/>
          <a:ext cx="0" cy="42545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16</xdr:row>
      <xdr:rowOff>142875</xdr:rowOff>
    </xdr:from>
    <xdr:to>
      <xdr:col>2</xdr:col>
      <xdr:colOff>9526</xdr:colOff>
      <xdr:row>21</xdr:row>
      <xdr:rowOff>142875</xdr:rowOff>
    </xdr:to>
    <xdr:cxnSp macro="">
      <xdr:nvCxnSpPr>
        <xdr:cNvPr id="78" name="77 Conector recto"/>
        <xdr:cNvCxnSpPr/>
      </xdr:nvCxnSpPr>
      <xdr:spPr>
        <a:xfrm flipH="1">
          <a:off x="295276" y="2581275"/>
          <a:ext cx="0" cy="7620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9525</xdr:rowOff>
    </xdr:from>
    <xdr:to>
      <xdr:col>42</xdr:col>
      <xdr:colOff>19051</xdr:colOff>
      <xdr:row>22</xdr:row>
      <xdr:rowOff>2</xdr:rowOff>
    </xdr:to>
    <xdr:cxnSp macro="">
      <xdr:nvCxnSpPr>
        <xdr:cNvPr id="83" name="82 Conector recto"/>
        <xdr:cNvCxnSpPr/>
      </xdr:nvCxnSpPr>
      <xdr:spPr>
        <a:xfrm flipH="1" flipV="1">
          <a:off x="4143375" y="1828800"/>
          <a:ext cx="1876426" cy="1666877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133351</xdr:colOff>
      <xdr:row>22</xdr:row>
      <xdr:rowOff>19050</xdr:rowOff>
    </xdr:from>
    <xdr:to>
      <xdr:col>42</xdr:col>
      <xdr:colOff>0</xdr:colOff>
      <xdr:row>32</xdr:row>
      <xdr:rowOff>0</xdr:rowOff>
    </xdr:to>
    <xdr:cxnSp macro="">
      <xdr:nvCxnSpPr>
        <xdr:cNvPr id="84" name="83 Conector recto"/>
        <xdr:cNvCxnSpPr/>
      </xdr:nvCxnSpPr>
      <xdr:spPr>
        <a:xfrm flipH="1">
          <a:off x="5991226" y="3371850"/>
          <a:ext cx="9524" cy="150495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19050</xdr:colOff>
      <xdr:row>19</xdr:row>
      <xdr:rowOff>44450</xdr:rowOff>
    </xdr:from>
    <xdr:to>
      <xdr:col>42</xdr:col>
      <xdr:colOff>19050</xdr:colOff>
      <xdr:row>21</xdr:row>
      <xdr:rowOff>117475</xdr:rowOff>
    </xdr:to>
    <xdr:cxnSp macro="">
      <xdr:nvCxnSpPr>
        <xdr:cNvPr id="85" name="84 Conector recto de flecha"/>
        <xdr:cNvCxnSpPr/>
      </xdr:nvCxnSpPr>
      <xdr:spPr>
        <a:xfrm>
          <a:off x="6019800" y="2940050"/>
          <a:ext cx="0" cy="37782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130175</xdr:colOff>
      <xdr:row>7</xdr:row>
      <xdr:rowOff>79375</xdr:rowOff>
    </xdr:from>
    <xdr:to>
      <xdr:col>28</xdr:col>
      <xdr:colOff>130175</xdr:colOff>
      <xdr:row>10</xdr:row>
      <xdr:rowOff>47625</xdr:rowOff>
    </xdr:to>
    <xdr:cxnSp macro="">
      <xdr:nvCxnSpPr>
        <xdr:cNvPr id="86" name="85 Conector recto de flecha"/>
        <xdr:cNvCxnSpPr/>
      </xdr:nvCxnSpPr>
      <xdr:spPr>
        <a:xfrm>
          <a:off x="4130675" y="1146175"/>
          <a:ext cx="0" cy="42545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24</xdr:row>
      <xdr:rowOff>28575</xdr:rowOff>
    </xdr:from>
    <xdr:to>
      <xdr:col>42</xdr:col>
      <xdr:colOff>0</xdr:colOff>
      <xdr:row>24</xdr:row>
      <xdr:rowOff>76200</xdr:rowOff>
    </xdr:to>
    <xdr:cxnSp macro="">
      <xdr:nvCxnSpPr>
        <xdr:cNvPr id="87" name="86 Conector recto de flecha"/>
        <xdr:cNvCxnSpPr/>
      </xdr:nvCxnSpPr>
      <xdr:spPr>
        <a:xfrm>
          <a:off x="333375" y="3686175"/>
          <a:ext cx="5667375" cy="47625"/>
        </a:xfrm>
        <a:prstGeom prst="straightConnector1">
          <a:avLst/>
        </a:prstGeom>
        <a:ln>
          <a:solidFill>
            <a:srgbClr val="C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22</xdr:row>
      <xdr:rowOff>0</xdr:rowOff>
    </xdr:from>
    <xdr:to>
      <xdr:col>2</xdr:col>
      <xdr:colOff>9525</xdr:colOff>
      <xdr:row>31</xdr:row>
      <xdr:rowOff>123825</xdr:rowOff>
    </xdr:to>
    <xdr:cxnSp macro="">
      <xdr:nvCxnSpPr>
        <xdr:cNvPr id="89" name="88 Conector recto"/>
        <xdr:cNvCxnSpPr/>
      </xdr:nvCxnSpPr>
      <xdr:spPr>
        <a:xfrm>
          <a:off x="285751" y="3352800"/>
          <a:ext cx="9524" cy="14954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</xdr:colOff>
      <xdr:row>7</xdr:row>
      <xdr:rowOff>133350</xdr:rowOff>
    </xdr:from>
    <xdr:to>
      <xdr:col>29</xdr:col>
      <xdr:colOff>1</xdr:colOff>
      <xdr:row>11</xdr:row>
      <xdr:rowOff>142875</xdr:rowOff>
    </xdr:to>
    <xdr:cxnSp macro="">
      <xdr:nvCxnSpPr>
        <xdr:cNvPr id="91" name="90 Conector recto"/>
        <xdr:cNvCxnSpPr/>
      </xdr:nvCxnSpPr>
      <xdr:spPr>
        <a:xfrm flipH="1">
          <a:off x="4143376" y="1200150"/>
          <a:ext cx="0" cy="6191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9525</xdr:rowOff>
    </xdr:from>
    <xdr:to>
      <xdr:col>29</xdr:col>
      <xdr:colOff>9525</xdr:colOff>
      <xdr:row>22</xdr:row>
      <xdr:rowOff>0</xdr:rowOff>
    </xdr:to>
    <xdr:cxnSp macro="">
      <xdr:nvCxnSpPr>
        <xdr:cNvPr id="95" name="94 Conector recto"/>
        <xdr:cNvCxnSpPr/>
      </xdr:nvCxnSpPr>
      <xdr:spPr>
        <a:xfrm flipV="1">
          <a:off x="4143375" y="1685925"/>
          <a:ext cx="9525" cy="1666875"/>
        </a:xfrm>
        <a:prstGeom prst="line">
          <a:avLst/>
        </a:prstGeom>
        <a:ln w="19050">
          <a:solidFill>
            <a:schemeClr val="tx1"/>
          </a:solidFill>
          <a:prstDash val="lgDash"/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16</xdr:row>
      <xdr:rowOff>33338</xdr:rowOff>
    </xdr:from>
    <xdr:to>
      <xdr:col>18</xdr:col>
      <xdr:colOff>133350</xdr:colOff>
      <xdr:row>21</xdr:row>
      <xdr:rowOff>95250</xdr:rowOff>
    </xdr:to>
    <xdr:cxnSp macro="">
      <xdr:nvCxnSpPr>
        <xdr:cNvPr id="97" name="96 Conector recto"/>
        <xdr:cNvCxnSpPr/>
      </xdr:nvCxnSpPr>
      <xdr:spPr>
        <a:xfrm>
          <a:off x="2305050" y="2614613"/>
          <a:ext cx="400050" cy="823912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29</xdr:col>
      <xdr:colOff>0</xdr:colOff>
      <xdr:row>21</xdr:row>
      <xdr:rowOff>123825</xdr:rowOff>
    </xdr:to>
    <xdr:cxnSp macro="">
      <xdr:nvCxnSpPr>
        <xdr:cNvPr id="98" name="97 Conector recto"/>
        <xdr:cNvCxnSpPr/>
      </xdr:nvCxnSpPr>
      <xdr:spPr>
        <a:xfrm flipH="1">
          <a:off x="285750" y="1838325"/>
          <a:ext cx="3857625" cy="162877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10</xdr:row>
      <xdr:rowOff>114300</xdr:rowOff>
    </xdr:from>
    <xdr:to>
      <xdr:col>16</xdr:col>
      <xdr:colOff>38100</xdr:colOff>
      <xdr:row>15</xdr:row>
      <xdr:rowOff>41275</xdr:rowOff>
    </xdr:to>
    <xdr:cxnSp macro="">
      <xdr:nvCxnSpPr>
        <xdr:cNvPr id="99" name="98 Conector recto de flecha"/>
        <xdr:cNvCxnSpPr/>
      </xdr:nvCxnSpPr>
      <xdr:spPr>
        <a:xfrm>
          <a:off x="2324100" y="1638300"/>
          <a:ext cx="0" cy="6889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19</xdr:row>
      <xdr:rowOff>114300</xdr:rowOff>
    </xdr:from>
    <xdr:to>
      <xdr:col>41</xdr:col>
      <xdr:colOff>123825</xdr:colOff>
      <xdr:row>19</xdr:row>
      <xdr:rowOff>133350</xdr:rowOff>
    </xdr:to>
    <xdr:cxnSp macro="">
      <xdr:nvCxnSpPr>
        <xdr:cNvPr id="102" name="101 Conector recto de flecha"/>
        <xdr:cNvCxnSpPr/>
      </xdr:nvCxnSpPr>
      <xdr:spPr>
        <a:xfrm>
          <a:off x="4171950" y="3009900"/>
          <a:ext cx="18097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10</xdr:row>
      <xdr:rowOff>123825</xdr:rowOff>
    </xdr:from>
    <xdr:to>
      <xdr:col>30</xdr:col>
      <xdr:colOff>133350</xdr:colOff>
      <xdr:row>16</xdr:row>
      <xdr:rowOff>142875</xdr:rowOff>
    </xdr:to>
    <xdr:cxnSp macro="">
      <xdr:nvCxnSpPr>
        <xdr:cNvPr id="103" name="102 Conector recto"/>
        <xdr:cNvCxnSpPr/>
      </xdr:nvCxnSpPr>
      <xdr:spPr>
        <a:xfrm>
          <a:off x="4419600" y="1647825"/>
          <a:ext cx="0" cy="933450"/>
        </a:xfrm>
        <a:prstGeom prst="line">
          <a:avLst/>
        </a:prstGeom>
        <a:ln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38</xdr:row>
      <xdr:rowOff>9525</xdr:rowOff>
    </xdr:from>
    <xdr:to>
      <xdr:col>36</xdr:col>
      <xdr:colOff>9525</xdr:colOff>
      <xdr:row>46</xdr:row>
      <xdr:rowOff>0</xdr:rowOff>
    </xdr:to>
    <xdr:cxnSp macro="">
      <xdr:nvCxnSpPr>
        <xdr:cNvPr id="142" name="141 Conector recto de flecha"/>
        <xdr:cNvCxnSpPr/>
      </xdr:nvCxnSpPr>
      <xdr:spPr>
        <a:xfrm>
          <a:off x="5143500" y="7934325"/>
          <a:ext cx="9525" cy="1209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62</xdr:row>
      <xdr:rowOff>57150</xdr:rowOff>
    </xdr:from>
    <xdr:to>
      <xdr:col>36</xdr:col>
      <xdr:colOff>19052</xdr:colOff>
      <xdr:row>75</xdr:row>
      <xdr:rowOff>19050</xdr:rowOff>
    </xdr:to>
    <xdr:cxnSp macro="">
      <xdr:nvCxnSpPr>
        <xdr:cNvPr id="149" name="148 Conector recto de flecha"/>
        <xdr:cNvCxnSpPr/>
      </xdr:nvCxnSpPr>
      <xdr:spPr>
        <a:xfrm flipH="1">
          <a:off x="1447800" y="9048750"/>
          <a:ext cx="3714752" cy="19431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77</xdr:row>
      <xdr:rowOff>133350</xdr:rowOff>
    </xdr:from>
    <xdr:to>
      <xdr:col>36</xdr:col>
      <xdr:colOff>9525</xdr:colOff>
      <xdr:row>85</xdr:row>
      <xdr:rowOff>123825</xdr:rowOff>
    </xdr:to>
    <xdr:cxnSp macro="">
      <xdr:nvCxnSpPr>
        <xdr:cNvPr id="153" name="152 Conector recto de flecha"/>
        <xdr:cNvCxnSpPr/>
      </xdr:nvCxnSpPr>
      <xdr:spPr>
        <a:xfrm>
          <a:off x="5143500" y="14001750"/>
          <a:ext cx="9525" cy="1209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61</xdr:row>
      <xdr:rowOff>123825</xdr:rowOff>
    </xdr:from>
    <xdr:to>
      <xdr:col>36</xdr:col>
      <xdr:colOff>9525</xdr:colOff>
      <xdr:row>77</xdr:row>
      <xdr:rowOff>142875</xdr:rowOff>
    </xdr:to>
    <xdr:cxnSp macro="">
      <xdr:nvCxnSpPr>
        <xdr:cNvPr id="155" name="154 Conector recto de flecha"/>
        <xdr:cNvCxnSpPr/>
      </xdr:nvCxnSpPr>
      <xdr:spPr>
        <a:xfrm>
          <a:off x="5143500" y="11553825"/>
          <a:ext cx="9525" cy="2457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9525</xdr:rowOff>
    </xdr:from>
    <xdr:to>
      <xdr:col>37</xdr:col>
      <xdr:colOff>9525</xdr:colOff>
      <xdr:row>61</xdr:row>
      <xdr:rowOff>114300</xdr:rowOff>
    </xdr:to>
    <xdr:cxnSp macro="">
      <xdr:nvCxnSpPr>
        <xdr:cNvPr id="162" name="161 Conector recto de flecha"/>
        <xdr:cNvCxnSpPr/>
      </xdr:nvCxnSpPr>
      <xdr:spPr>
        <a:xfrm flipV="1">
          <a:off x="5286375" y="7934325"/>
          <a:ext cx="9525" cy="36099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62</xdr:row>
      <xdr:rowOff>66675</xdr:rowOff>
    </xdr:from>
    <xdr:to>
      <xdr:col>35</xdr:col>
      <xdr:colOff>133350</xdr:colOff>
      <xdr:row>62</xdr:row>
      <xdr:rowOff>95250</xdr:rowOff>
    </xdr:to>
    <xdr:cxnSp macro="">
      <xdr:nvCxnSpPr>
        <xdr:cNvPr id="164" name="163 Conector recto de flecha"/>
        <xdr:cNvCxnSpPr/>
      </xdr:nvCxnSpPr>
      <xdr:spPr>
        <a:xfrm flipV="1">
          <a:off x="581025" y="11649075"/>
          <a:ext cx="4552950" cy="285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46</xdr:row>
      <xdr:rowOff>85725</xdr:rowOff>
    </xdr:from>
    <xdr:to>
      <xdr:col>36</xdr:col>
      <xdr:colOff>0</xdr:colOff>
      <xdr:row>62</xdr:row>
      <xdr:rowOff>47626</xdr:rowOff>
    </xdr:to>
    <xdr:cxnSp macro="">
      <xdr:nvCxnSpPr>
        <xdr:cNvPr id="165" name="164 Conector recto de flecha"/>
        <xdr:cNvCxnSpPr/>
      </xdr:nvCxnSpPr>
      <xdr:spPr>
        <a:xfrm flipV="1">
          <a:off x="628651" y="9229725"/>
          <a:ext cx="4514849" cy="2400301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46</xdr:row>
      <xdr:rowOff>104776</xdr:rowOff>
    </xdr:from>
    <xdr:to>
      <xdr:col>36</xdr:col>
      <xdr:colOff>19050</xdr:colOff>
      <xdr:row>61</xdr:row>
      <xdr:rowOff>142875</xdr:rowOff>
    </xdr:to>
    <xdr:cxnSp macro="">
      <xdr:nvCxnSpPr>
        <xdr:cNvPr id="169" name="168 Conector recto de flecha"/>
        <xdr:cNvCxnSpPr/>
      </xdr:nvCxnSpPr>
      <xdr:spPr>
        <a:xfrm>
          <a:off x="5153025" y="9248776"/>
          <a:ext cx="9525" cy="2324099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62</xdr:row>
      <xdr:rowOff>9526</xdr:rowOff>
    </xdr:from>
    <xdr:to>
      <xdr:col>35</xdr:col>
      <xdr:colOff>133351</xdr:colOff>
      <xdr:row>74</xdr:row>
      <xdr:rowOff>57150</xdr:rowOff>
    </xdr:to>
    <xdr:cxnSp macro="">
      <xdr:nvCxnSpPr>
        <xdr:cNvPr id="172" name="171 Conector recto de flecha"/>
        <xdr:cNvCxnSpPr/>
      </xdr:nvCxnSpPr>
      <xdr:spPr>
        <a:xfrm flipH="1">
          <a:off x="1457325" y="11591926"/>
          <a:ext cx="3676651" cy="1876424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62</xdr:row>
      <xdr:rowOff>38101</xdr:rowOff>
    </xdr:from>
    <xdr:to>
      <xdr:col>9</xdr:col>
      <xdr:colOff>114300</xdr:colOff>
      <xdr:row>74</xdr:row>
      <xdr:rowOff>114300</xdr:rowOff>
    </xdr:to>
    <xdr:cxnSp macro="">
      <xdr:nvCxnSpPr>
        <xdr:cNvPr id="175" name="174 Conector recto de flecha"/>
        <xdr:cNvCxnSpPr/>
      </xdr:nvCxnSpPr>
      <xdr:spPr>
        <a:xfrm flipH="1" flipV="1">
          <a:off x="581026" y="11620501"/>
          <a:ext cx="819149" cy="1904999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62</xdr:row>
      <xdr:rowOff>57151</xdr:rowOff>
    </xdr:from>
    <xdr:to>
      <xdr:col>36</xdr:col>
      <xdr:colOff>28575</xdr:colOff>
      <xdr:row>74</xdr:row>
      <xdr:rowOff>142875</xdr:rowOff>
    </xdr:to>
    <xdr:cxnSp macro="">
      <xdr:nvCxnSpPr>
        <xdr:cNvPr id="181" name="180 Conector recto de flecha"/>
        <xdr:cNvCxnSpPr/>
      </xdr:nvCxnSpPr>
      <xdr:spPr>
        <a:xfrm flipV="1">
          <a:off x="1419225" y="11639551"/>
          <a:ext cx="3752850" cy="1914524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28575</xdr:rowOff>
    </xdr:from>
    <xdr:to>
      <xdr:col>36</xdr:col>
      <xdr:colOff>9526</xdr:colOff>
      <xdr:row>77</xdr:row>
      <xdr:rowOff>123825</xdr:rowOff>
    </xdr:to>
    <xdr:cxnSp macro="">
      <xdr:nvCxnSpPr>
        <xdr:cNvPr id="185" name="184 Conector recto de flecha"/>
        <xdr:cNvCxnSpPr/>
      </xdr:nvCxnSpPr>
      <xdr:spPr>
        <a:xfrm flipH="1" flipV="1">
          <a:off x="3200400" y="11610975"/>
          <a:ext cx="1952626" cy="23812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47625</xdr:colOff>
      <xdr:row>62</xdr:row>
      <xdr:rowOff>0</xdr:rowOff>
    </xdr:from>
    <xdr:to>
      <xdr:col>36</xdr:col>
      <xdr:colOff>57150</xdr:colOff>
      <xdr:row>78</xdr:row>
      <xdr:rowOff>19050</xdr:rowOff>
    </xdr:to>
    <xdr:cxnSp macro="">
      <xdr:nvCxnSpPr>
        <xdr:cNvPr id="188" name="187 Conector recto de flecha"/>
        <xdr:cNvCxnSpPr/>
      </xdr:nvCxnSpPr>
      <xdr:spPr>
        <a:xfrm>
          <a:off x="5191125" y="11582400"/>
          <a:ext cx="9525" cy="24574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62</xdr:row>
      <xdr:rowOff>19050</xdr:rowOff>
    </xdr:from>
    <xdr:to>
      <xdr:col>22</xdr:col>
      <xdr:colOff>9525</xdr:colOff>
      <xdr:row>74</xdr:row>
      <xdr:rowOff>123825</xdr:rowOff>
    </xdr:to>
    <xdr:cxnSp macro="">
      <xdr:nvCxnSpPr>
        <xdr:cNvPr id="190" name="189 Conector recto de flecha"/>
        <xdr:cNvCxnSpPr/>
      </xdr:nvCxnSpPr>
      <xdr:spPr>
        <a:xfrm flipH="1">
          <a:off x="1419225" y="11601450"/>
          <a:ext cx="1733550" cy="193357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61</xdr:row>
      <xdr:rowOff>76200</xdr:rowOff>
    </xdr:from>
    <xdr:to>
      <xdr:col>35</xdr:col>
      <xdr:colOff>123826</xdr:colOff>
      <xdr:row>61</xdr:row>
      <xdr:rowOff>85725</xdr:rowOff>
    </xdr:to>
    <xdr:cxnSp macro="">
      <xdr:nvCxnSpPr>
        <xdr:cNvPr id="199" name="198 Conector recto de flecha"/>
        <xdr:cNvCxnSpPr/>
      </xdr:nvCxnSpPr>
      <xdr:spPr>
        <a:xfrm flipH="1" flipV="1">
          <a:off x="3238500" y="11506200"/>
          <a:ext cx="1885951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61</xdr:row>
      <xdr:rowOff>95250</xdr:rowOff>
    </xdr:from>
    <xdr:to>
      <xdr:col>36</xdr:col>
      <xdr:colOff>38100</xdr:colOff>
      <xdr:row>77</xdr:row>
      <xdr:rowOff>57150</xdr:rowOff>
    </xdr:to>
    <xdr:cxnSp macro="">
      <xdr:nvCxnSpPr>
        <xdr:cNvPr id="204" name="203 Conector recto de flecha"/>
        <xdr:cNvCxnSpPr/>
      </xdr:nvCxnSpPr>
      <xdr:spPr>
        <a:xfrm>
          <a:off x="3200400" y="11525250"/>
          <a:ext cx="1981200" cy="24003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28575</xdr:colOff>
      <xdr:row>77</xdr:row>
      <xdr:rowOff>104775</xdr:rowOff>
    </xdr:from>
    <xdr:to>
      <xdr:col>36</xdr:col>
      <xdr:colOff>47625</xdr:colOff>
      <xdr:row>85</xdr:row>
      <xdr:rowOff>123825</xdr:rowOff>
    </xdr:to>
    <xdr:cxnSp macro="">
      <xdr:nvCxnSpPr>
        <xdr:cNvPr id="206" name="205 Conector recto de flecha"/>
        <xdr:cNvCxnSpPr/>
      </xdr:nvCxnSpPr>
      <xdr:spPr>
        <a:xfrm>
          <a:off x="5172075" y="13973175"/>
          <a:ext cx="19050" cy="12382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62</xdr:row>
      <xdr:rowOff>19050</xdr:rowOff>
    </xdr:from>
    <xdr:to>
      <xdr:col>36</xdr:col>
      <xdr:colOff>114300</xdr:colOff>
      <xdr:row>85</xdr:row>
      <xdr:rowOff>142875</xdr:rowOff>
    </xdr:to>
    <xdr:cxnSp macro="">
      <xdr:nvCxnSpPr>
        <xdr:cNvPr id="208" name="207 Conector recto de flecha"/>
        <xdr:cNvCxnSpPr/>
      </xdr:nvCxnSpPr>
      <xdr:spPr>
        <a:xfrm flipH="1" flipV="1">
          <a:off x="5238750" y="11601450"/>
          <a:ext cx="19050" cy="3629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62</xdr:row>
      <xdr:rowOff>76200</xdr:rowOff>
    </xdr:from>
    <xdr:to>
      <xdr:col>10</xdr:col>
      <xdr:colOff>19050</xdr:colOff>
      <xdr:row>74</xdr:row>
      <xdr:rowOff>47625</xdr:rowOff>
    </xdr:to>
    <xdr:cxnSp macro="">
      <xdr:nvCxnSpPr>
        <xdr:cNvPr id="215" name="214 Conector recto de flecha"/>
        <xdr:cNvCxnSpPr/>
      </xdr:nvCxnSpPr>
      <xdr:spPr>
        <a:xfrm>
          <a:off x="666750" y="11658600"/>
          <a:ext cx="781050" cy="1800225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62</xdr:row>
      <xdr:rowOff>95251</xdr:rowOff>
    </xdr:from>
    <xdr:to>
      <xdr:col>22</xdr:col>
      <xdr:colOff>9525</xdr:colOff>
      <xdr:row>75</xdr:row>
      <xdr:rowOff>9525</xdr:rowOff>
    </xdr:to>
    <xdr:cxnSp macro="">
      <xdr:nvCxnSpPr>
        <xdr:cNvPr id="216" name="215 Conector recto de flecha"/>
        <xdr:cNvCxnSpPr/>
      </xdr:nvCxnSpPr>
      <xdr:spPr>
        <a:xfrm flipV="1">
          <a:off x="1466850" y="11677651"/>
          <a:ext cx="1685925" cy="1895474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104775</xdr:rowOff>
    </xdr:from>
    <xdr:to>
      <xdr:col>35</xdr:col>
      <xdr:colOff>133350</xdr:colOff>
      <xdr:row>62</xdr:row>
      <xdr:rowOff>123825</xdr:rowOff>
    </xdr:to>
    <xdr:cxnSp macro="">
      <xdr:nvCxnSpPr>
        <xdr:cNvPr id="221" name="220 Conector recto de flecha"/>
        <xdr:cNvCxnSpPr/>
      </xdr:nvCxnSpPr>
      <xdr:spPr>
        <a:xfrm flipV="1">
          <a:off x="3200400" y="11687175"/>
          <a:ext cx="1933575" cy="19050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39</xdr:row>
      <xdr:rowOff>76200</xdr:rowOff>
    </xdr:from>
    <xdr:to>
      <xdr:col>34</xdr:col>
      <xdr:colOff>66675</xdr:colOff>
      <xdr:row>39</xdr:row>
      <xdr:rowOff>76200</xdr:rowOff>
    </xdr:to>
    <xdr:cxnSp macro="">
      <xdr:nvCxnSpPr>
        <xdr:cNvPr id="225" name="224 Conector recto de flecha"/>
        <xdr:cNvCxnSpPr/>
      </xdr:nvCxnSpPr>
      <xdr:spPr>
        <a:xfrm>
          <a:off x="6724650" y="8001000"/>
          <a:ext cx="771525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40</xdr:row>
      <xdr:rowOff>85725</xdr:rowOff>
    </xdr:from>
    <xdr:to>
      <xdr:col>34</xdr:col>
      <xdr:colOff>66675</xdr:colOff>
      <xdr:row>40</xdr:row>
      <xdr:rowOff>85725</xdr:rowOff>
    </xdr:to>
    <xdr:cxnSp macro="">
      <xdr:nvCxnSpPr>
        <xdr:cNvPr id="226" name="225 Conector recto de flecha"/>
        <xdr:cNvCxnSpPr/>
      </xdr:nvCxnSpPr>
      <xdr:spPr>
        <a:xfrm>
          <a:off x="6724650" y="8162925"/>
          <a:ext cx="771525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41</xdr:row>
      <xdr:rowOff>85725</xdr:rowOff>
    </xdr:from>
    <xdr:to>
      <xdr:col>34</xdr:col>
      <xdr:colOff>95250</xdr:colOff>
      <xdr:row>41</xdr:row>
      <xdr:rowOff>85725</xdr:rowOff>
    </xdr:to>
    <xdr:cxnSp macro="">
      <xdr:nvCxnSpPr>
        <xdr:cNvPr id="227" name="226 Conector recto de flecha"/>
        <xdr:cNvCxnSpPr/>
      </xdr:nvCxnSpPr>
      <xdr:spPr>
        <a:xfrm>
          <a:off x="6753225" y="8315325"/>
          <a:ext cx="771525" cy="0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42</xdr:row>
      <xdr:rowOff>66675</xdr:rowOff>
    </xdr:from>
    <xdr:to>
      <xdr:col>34</xdr:col>
      <xdr:colOff>66675</xdr:colOff>
      <xdr:row>42</xdr:row>
      <xdr:rowOff>66675</xdr:rowOff>
    </xdr:to>
    <xdr:cxnSp macro="">
      <xdr:nvCxnSpPr>
        <xdr:cNvPr id="228" name="227 Conector recto de flecha"/>
        <xdr:cNvCxnSpPr/>
      </xdr:nvCxnSpPr>
      <xdr:spPr>
        <a:xfrm>
          <a:off x="6724650" y="8448675"/>
          <a:ext cx="771525" cy="0"/>
        </a:xfrm>
        <a:prstGeom prst="straightConnector1">
          <a:avLst/>
        </a:prstGeom>
        <a:ln w="19050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43</xdr:row>
      <xdr:rowOff>95250</xdr:rowOff>
    </xdr:from>
    <xdr:to>
      <xdr:col>34</xdr:col>
      <xdr:colOff>85725</xdr:colOff>
      <xdr:row>43</xdr:row>
      <xdr:rowOff>95250</xdr:rowOff>
    </xdr:to>
    <xdr:cxnSp macro="">
      <xdr:nvCxnSpPr>
        <xdr:cNvPr id="229" name="228 Conector recto de flecha"/>
        <xdr:cNvCxnSpPr/>
      </xdr:nvCxnSpPr>
      <xdr:spPr>
        <a:xfrm>
          <a:off x="6743700" y="8629650"/>
          <a:ext cx="7715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61</xdr:row>
      <xdr:rowOff>123825</xdr:rowOff>
    </xdr:from>
    <xdr:to>
      <xdr:col>35</xdr:col>
      <xdr:colOff>133351</xdr:colOff>
      <xdr:row>62</xdr:row>
      <xdr:rowOff>9525</xdr:rowOff>
    </xdr:to>
    <xdr:cxnSp macro="">
      <xdr:nvCxnSpPr>
        <xdr:cNvPr id="232" name="231 Conector recto de flecha"/>
        <xdr:cNvCxnSpPr/>
      </xdr:nvCxnSpPr>
      <xdr:spPr>
        <a:xfrm flipH="1">
          <a:off x="590550" y="11553825"/>
          <a:ext cx="4543426" cy="38100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21</xdr:row>
      <xdr:rowOff>114300</xdr:rowOff>
    </xdr:from>
    <xdr:to>
      <xdr:col>42</xdr:col>
      <xdr:colOff>38101</xdr:colOff>
      <xdr:row>22</xdr:row>
      <xdr:rowOff>0</xdr:rowOff>
    </xdr:to>
    <xdr:cxnSp macro="">
      <xdr:nvCxnSpPr>
        <xdr:cNvPr id="90" name="89 Conector recto"/>
        <xdr:cNvCxnSpPr/>
      </xdr:nvCxnSpPr>
      <xdr:spPr>
        <a:xfrm flipH="1" flipV="1">
          <a:off x="333375" y="3314700"/>
          <a:ext cx="5705476" cy="3810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44</xdr:row>
      <xdr:rowOff>133350</xdr:rowOff>
    </xdr:from>
    <xdr:to>
      <xdr:col>28</xdr:col>
      <xdr:colOff>9525</xdr:colOff>
      <xdr:row>45</xdr:row>
      <xdr:rowOff>142875</xdr:rowOff>
    </xdr:to>
    <xdr:cxnSp macro="">
      <xdr:nvCxnSpPr>
        <xdr:cNvPr id="25" name="24 Conector recto"/>
        <xdr:cNvCxnSpPr/>
      </xdr:nvCxnSpPr>
      <xdr:spPr>
        <a:xfrm>
          <a:off x="6153150" y="9429750"/>
          <a:ext cx="0" cy="1619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45</xdr:row>
      <xdr:rowOff>0</xdr:rowOff>
    </xdr:from>
    <xdr:to>
      <xdr:col>29</xdr:col>
      <xdr:colOff>9525</xdr:colOff>
      <xdr:row>46</xdr:row>
      <xdr:rowOff>9525</xdr:rowOff>
    </xdr:to>
    <xdr:cxnSp macro="">
      <xdr:nvCxnSpPr>
        <xdr:cNvPr id="114" name="113 Conector recto"/>
        <xdr:cNvCxnSpPr/>
      </xdr:nvCxnSpPr>
      <xdr:spPr>
        <a:xfrm>
          <a:off x="6296025" y="9448800"/>
          <a:ext cx="0" cy="161925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44</xdr:row>
      <xdr:rowOff>142875</xdr:rowOff>
    </xdr:from>
    <xdr:to>
      <xdr:col>30</xdr:col>
      <xdr:colOff>9525</xdr:colOff>
      <xdr:row>46</xdr:row>
      <xdr:rowOff>0</xdr:rowOff>
    </xdr:to>
    <xdr:cxnSp macro="">
      <xdr:nvCxnSpPr>
        <xdr:cNvPr id="115" name="114 Conector recto"/>
        <xdr:cNvCxnSpPr/>
      </xdr:nvCxnSpPr>
      <xdr:spPr>
        <a:xfrm>
          <a:off x="6438900" y="9439275"/>
          <a:ext cx="0" cy="161925"/>
        </a:xfrm>
        <a:prstGeom prst="line">
          <a:avLst/>
        </a:prstGeom>
        <a:ln w="381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44</xdr:row>
      <xdr:rowOff>142875</xdr:rowOff>
    </xdr:from>
    <xdr:to>
      <xdr:col>31</xdr:col>
      <xdr:colOff>9525</xdr:colOff>
      <xdr:row>46</xdr:row>
      <xdr:rowOff>0</xdr:rowOff>
    </xdr:to>
    <xdr:cxnSp macro="">
      <xdr:nvCxnSpPr>
        <xdr:cNvPr id="116" name="115 Conector recto"/>
        <xdr:cNvCxnSpPr/>
      </xdr:nvCxnSpPr>
      <xdr:spPr>
        <a:xfrm>
          <a:off x="6581775" y="9439275"/>
          <a:ext cx="0" cy="161925"/>
        </a:xfrm>
        <a:prstGeom prst="line">
          <a:avLst/>
        </a:prstGeom>
        <a:ln w="381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15</xdr:row>
      <xdr:rowOff>57150</xdr:rowOff>
    </xdr:from>
    <xdr:to>
      <xdr:col>16</xdr:col>
      <xdr:colOff>9525</xdr:colOff>
      <xdr:row>24</xdr:row>
      <xdr:rowOff>133350</xdr:rowOff>
    </xdr:to>
    <xdr:cxnSp macro="">
      <xdr:nvCxnSpPr>
        <xdr:cNvPr id="80" name="79 Conector recto"/>
        <xdr:cNvCxnSpPr/>
      </xdr:nvCxnSpPr>
      <xdr:spPr>
        <a:xfrm>
          <a:off x="2276475" y="2343150"/>
          <a:ext cx="19050" cy="1447800"/>
        </a:xfrm>
        <a:prstGeom prst="line">
          <a:avLst/>
        </a:prstGeom>
        <a:ln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40</xdr:row>
      <xdr:rowOff>85725</xdr:rowOff>
    </xdr:from>
    <xdr:to>
      <xdr:col>3</xdr:col>
      <xdr:colOff>133350</xdr:colOff>
      <xdr:row>45</xdr:row>
      <xdr:rowOff>47625</xdr:rowOff>
    </xdr:to>
    <xdr:cxnSp macro="">
      <xdr:nvCxnSpPr>
        <xdr:cNvPr id="4" name="3 Conector recto"/>
        <xdr:cNvCxnSpPr/>
      </xdr:nvCxnSpPr>
      <xdr:spPr>
        <a:xfrm>
          <a:off x="5991225" y="11058525"/>
          <a:ext cx="0" cy="7239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48</xdr:row>
      <xdr:rowOff>76200</xdr:rowOff>
    </xdr:from>
    <xdr:to>
      <xdr:col>16</xdr:col>
      <xdr:colOff>104775</xdr:colOff>
      <xdr:row>48</xdr:row>
      <xdr:rowOff>76201</xdr:rowOff>
    </xdr:to>
    <xdr:cxnSp macro="">
      <xdr:nvCxnSpPr>
        <xdr:cNvPr id="92" name="91 Conector recto"/>
        <xdr:cNvCxnSpPr/>
      </xdr:nvCxnSpPr>
      <xdr:spPr>
        <a:xfrm flipV="1">
          <a:off x="6019800" y="11811000"/>
          <a:ext cx="1800225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38</xdr:row>
      <xdr:rowOff>85725</xdr:rowOff>
    </xdr:from>
    <xdr:to>
      <xdr:col>16</xdr:col>
      <xdr:colOff>47625</xdr:colOff>
      <xdr:row>43</xdr:row>
      <xdr:rowOff>76200</xdr:rowOff>
    </xdr:to>
    <xdr:cxnSp macro="">
      <xdr:nvCxnSpPr>
        <xdr:cNvPr id="93" name="92 Conector recto"/>
        <xdr:cNvCxnSpPr/>
      </xdr:nvCxnSpPr>
      <xdr:spPr>
        <a:xfrm flipV="1">
          <a:off x="6724650" y="10296525"/>
          <a:ext cx="1038225" cy="7524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38</xdr:row>
      <xdr:rowOff>9525</xdr:rowOff>
    </xdr:from>
    <xdr:to>
      <xdr:col>21</xdr:col>
      <xdr:colOff>0</xdr:colOff>
      <xdr:row>46</xdr:row>
      <xdr:rowOff>38100</xdr:rowOff>
    </xdr:to>
    <xdr:cxnSp macro="">
      <xdr:nvCxnSpPr>
        <xdr:cNvPr id="15" name="14 Conector recto"/>
        <xdr:cNvCxnSpPr/>
      </xdr:nvCxnSpPr>
      <xdr:spPr>
        <a:xfrm flipH="1">
          <a:off x="6667500" y="10220325"/>
          <a:ext cx="1762125" cy="1247775"/>
        </a:xfrm>
        <a:prstGeom prst="line">
          <a:avLst/>
        </a:prstGeom>
        <a:ln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41</xdr:row>
      <xdr:rowOff>104775</xdr:rowOff>
    </xdr:from>
    <xdr:to>
      <xdr:col>19</xdr:col>
      <xdr:colOff>28575</xdr:colOff>
      <xdr:row>45</xdr:row>
      <xdr:rowOff>133351</xdr:rowOff>
    </xdr:to>
    <xdr:cxnSp macro="">
      <xdr:nvCxnSpPr>
        <xdr:cNvPr id="109" name="108 Conector recto"/>
        <xdr:cNvCxnSpPr/>
      </xdr:nvCxnSpPr>
      <xdr:spPr>
        <a:xfrm flipV="1">
          <a:off x="7305675" y="10772775"/>
          <a:ext cx="866775" cy="63817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104776</xdr:colOff>
      <xdr:row>44</xdr:row>
      <xdr:rowOff>38100</xdr:rowOff>
    </xdr:from>
    <xdr:to>
      <xdr:col>13</xdr:col>
      <xdr:colOff>28575</xdr:colOff>
      <xdr:row>45</xdr:row>
      <xdr:rowOff>142875</xdr:rowOff>
    </xdr:to>
    <xdr:cxnSp macro="">
      <xdr:nvCxnSpPr>
        <xdr:cNvPr id="110" name="109 Conector recto"/>
        <xdr:cNvCxnSpPr/>
      </xdr:nvCxnSpPr>
      <xdr:spPr>
        <a:xfrm flipH="1" flipV="1">
          <a:off x="7105651" y="11163300"/>
          <a:ext cx="209549" cy="2571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43</xdr:row>
      <xdr:rowOff>95250</xdr:rowOff>
    </xdr:from>
    <xdr:to>
      <xdr:col>10</xdr:col>
      <xdr:colOff>47625</xdr:colOff>
      <xdr:row>44</xdr:row>
      <xdr:rowOff>142875</xdr:rowOff>
    </xdr:to>
    <xdr:cxnSp macro="">
      <xdr:nvCxnSpPr>
        <xdr:cNvPr id="118" name="117 Conector recto"/>
        <xdr:cNvCxnSpPr/>
      </xdr:nvCxnSpPr>
      <xdr:spPr>
        <a:xfrm flipH="1" flipV="1">
          <a:off x="6734175" y="11068050"/>
          <a:ext cx="171450" cy="2000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37</xdr:row>
      <xdr:rowOff>9525</xdr:rowOff>
    </xdr:from>
    <xdr:to>
      <xdr:col>22</xdr:col>
      <xdr:colOff>57150</xdr:colOff>
      <xdr:row>39</xdr:row>
      <xdr:rowOff>9525</xdr:rowOff>
    </xdr:to>
    <xdr:cxnSp macro="">
      <xdr:nvCxnSpPr>
        <xdr:cNvPr id="238" name="237 Conector recto de flecha"/>
        <xdr:cNvCxnSpPr/>
      </xdr:nvCxnSpPr>
      <xdr:spPr>
        <a:xfrm flipH="1">
          <a:off x="8220075" y="7477125"/>
          <a:ext cx="409575" cy="3048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48</xdr:row>
      <xdr:rowOff>142876</xdr:rowOff>
    </xdr:from>
    <xdr:to>
      <xdr:col>9</xdr:col>
      <xdr:colOff>0</xdr:colOff>
      <xdr:row>52</xdr:row>
      <xdr:rowOff>19050</xdr:rowOff>
    </xdr:to>
    <xdr:cxnSp macro="">
      <xdr:nvCxnSpPr>
        <xdr:cNvPr id="127" name="126 Conector recto de flecha"/>
        <xdr:cNvCxnSpPr/>
      </xdr:nvCxnSpPr>
      <xdr:spPr>
        <a:xfrm flipH="1" flipV="1">
          <a:off x="6705600" y="9286876"/>
          <a:ext cx="9525" cy="4857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46</xdr:row>
      <xdr:rowOff>76200</xdr:rowOff>
    </xdr:from>
    <xdr:to>
      <xdr:col>20</xdr:col>
      <xdr:colOff>133350</xdr:colOff>
      <xdr:row>46</xdr:row>
      <xdr:rowOff>85725</xdr:rowOff>
    </xdr:to>
    <xdr:cxnSp macro="">
      <xdr:nvCxnSpPr>
        <xdr:cNvPr id="128" name="127 Conector recto de flecha"/>
        <xdr:cNvCxnSpPr/>
      </xdr:nvCxnSpPr>
      <xdr:spPr>
        <a:xfrm flipV="1">
          <a:off x="7858126" y="8915400"/>
          <a:ext cx="561974" cy="95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43</xdr:row>
      <xdr:rowOff>76200</xdr:rowOff>
    </xdr:from>
    <xdr:to>
      <xdr:col>9</xdr:col>
      <xdr:colOff>19050</xdr:colOff>
      <xdr:row>43</xdr:row>
      <xdr:rowOff>85725</xdr:rowOff>
    </xdr:to>
    <xdr:cxnSp macro="">
      <xdr:nvCxnSpPr>
        <xdr:cNvPr id="144" name="143 Conector recto"/>
        <xdr:cNvCxnSpPr/>
      </xdr:nvCxnSpPr>
      <xdr:spPr>
        <a:xfrm>
          <a:off x="5991225" y="11049000"/>
          <a:ext cx="7429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6</xdr:row>
      <xdr:rowOff>142875</xdr:rowOff>
    </xdr:from>
    <xdr:to>
      <xdr:col>46</xdr:col>
      <xdr:colOff>19050</xdr:colOff>
      <xdr:row>7</xdr:row>
      <xdr:rowOff>0</xdr:rowOff>
    </xdr:to>
    <xdr:cxnSp macro="">
      <xdr:nvCxnSpPr>
        <xdr:cNvPr id="32" name="31 Conector recto"/>
        <xdr:cNvCxnSpPr/>
      </xdr:nvCxnSpPr>
      <xdr:spPr>
        <a:xfrm flipV="1">
          <a:off x="9896475" y="120300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9</xdr:row>
      <xdr:rowOff>142875</xdr:rowOff>
    </xdr:from>
    <xdr:to>
      <xdr:col>46</xdr:col>
      <xdr:colOff>19050</xdr:colOff>
      <xdr:row>10</xdr:row>
      <xdr:rowOff>0</xdr:rowOff>
    </xdr:to>
    <xdr:cxnSp macro="">
      <xdr:nvCxnSpPr>
        <xdr:cNvPr id="151" name="150 Conector recto"/>
        <xdr:cNvCxnSpPr/>
      </xdr:nvCxnSpPr>
      <xdr:spPr>
        <a:xfrm flipV="1">
          <a:off x="9896475" y="120300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9</xdr:row>
      <xdr:rowOff>142875</xdr:rowOff>
    </xdr:from>
    <xdr:to>
      <xdr:col>46</xdr:col>
      <xdr:colOff>19050</xdr:colOff>
      <xdr:row>10</xdr:row>
      <xdr:rowOff>0</xdr:rowOff>
    </xdr:to>
    <xdr:cxnSp macro="">
      <xdr:nvCxnSpPr>
        <xdr:cNvPr id="156" name="155 Conector recto"/>
        <xdr:cNvCxnSpPr/>
      </xdr:nvCxnSpPr>
      <xdr:spPr>
        <a:xfrm flipV="1">
          <a:off x="9896475" y="120300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12</xdr:row>
      <xdr:rowOff>142875</xdr:rowOff>
    </xdr:from>
    <xdr:to>
      <xdr:col>46</xdr:col>
      <xdr:colOff>19050</xdr:colOff>
      <xdr:row>13</xdr:row>
      <xdr:rowOff>0</xdr:rowOff>
    </xdr:to>
    <xdr:cxnSp macro="">
      <xdr:nvCxnSpPr>
        <xdr:cNvPr id="161" name="160 Conector recto"/>
        <xdr:cNvCxnSpPr/>
      </xdr:nvCxnSpPr>
      <xdr:spPr>
        <a:xfrm flipV="1">
          <a:off x="9896475" y="124872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12</xdr:row>
      <xdr:rowOff>142875</xdr:rowOff>
    </xdr:from>
    <xdr:to>
      <xdr:col>46</xdr:col>
      <xdr:colOff>19050</xdr:colOff>
      <xdr:row>13</xdr:row>
      <xdr:rowOff>0</xdr:rowOff>
    </xdr:to>
    <xdr:cxnSp macro="">
      <xdr:nvCxnSpPr>
        <xdr:cNvPr id="163" name="162 Conector recto"/>
        <xdr:cNvCxnSpPr/>
      </xdr:nvCxnSpPr>
      <xdr:spPr>
        <a:xfrm flipV="1">
          <a:off x="9896475" y="124872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12</xdr:row>
      <xdr:rowOff>142875</xdr:rowOff>
    </xdr:from>
    <xdr:to>
      <xdr:col>46</xdr:col>
      <xdr:colOff>19050</xdr:colOff>
      <xdr:row>13</xdr:row>
      <xdr:rowOff>0</xdr:rowOff>
    </xdr:to>
    <xdr:cxnSp macro="">
      <xdr:nvCxnSpPr>
        <xdr:cNvPr id="166" name="165 Conector recto"/>
        <xdr:cNvCxnSpPr/>
      </xdr:nvCxnSpPr>
      <xdr:spPr>
        <a:xfrm flipV="1">
          <a:off x="9896475" y="124872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180975</xdr:colOff>
      <xdr:row>12</xdr:row>
      <xdr:rowOff>142875</xdr:rowOff>
    </xdr:from>
    <xdr:to>
      <xdr:col>46</xdr:col>
      <xdr:colOff>19050</xdr:colOff>
      <xdr:row>13</xdr:row>
      <xdr:rowOff>0</xdr:rowOff>
    </xdr:to>
    <xdr:cxnSp macro="">
      <xdr:nvCxnSpPr>
        <xdr:cNvPr id="167" name="166 Conector recto"/>
        <xdr:cNvCxnSpPr/>
      </xdr:nvCxnSpPr>
      <xdr:spPr>
        <a:xfrm flipV="1">
          <a:off x="9896475" y="12487275"/>
          <a:ext cx="600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47625</xdr:rowOff>
    </xdr:from>
    <xdr:to>
      <xdr:col>13</xdr:col>
      <xdr:colOff>19050</xdr:colOff>
      <xdr:row>46</xdr:row>
      <xdr:rowOff>76200</xdr:rowOff>
    </xdr:to>
    <xdr:cxnSp macro="">
      <xdr:nvCxnSpPr>
        <xdr:cNvPr id="34" name="33 Conector recto de flecha"/>
        <xdr:cNvCxnSpPr/>
      </xdr:nvCxnSpPr>
      <xdr:spPr>
        <a:xfrm flipH="1" flipV="1">
          <a:off x="6000750" y="11477625"/>
          <a:ext cx="1304925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46</xdr:row>
      <xdr:rowOff>57150</xdr:rowOff>
    </xdr:from>
    <xdr:to>
      <xdr:col>9</xdr:col>
      <xdr:colOff>1</xdr:colOff>
      <xdr:row>48</xdr:row>
      <xdr:rowOff>76200</xdr:rowOff>
    </xdr:to>
    <xdr:cxnSp macro="">
      <xdr:nvCxnSpPr>
        <xdr:cNvPr id="168" name="167 Conector recto de flecha"/>
        <xdr:cNvCxnSpPr/>
      </xdr:nvCxnSpPr>
      <xdr:spPr>
        <a:xfrm flipH="1">
          <a:off x="1266825" y="6610350"/>
          <a:ext cx="19051" cy="323850"/>
        </a:xfrm>
        <a:prstGeom prst="straightConnector1">
          <a:avLst/>
        </a:prstGeom>
        <a:ln>
          <a:prstDash val="dashDot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43</xdr:row>
      <xdr:rowOff>104775</xdr:rowOff>
    </xdr:from>
    <xdr:to>
      <xdr:col>21</xdr:col>
      <xdr:colOff>47625</xdr:colOff>
      <xdr:row>43</xdr:row>
      <xdr:rowOff>123827</xdr:rowOff>
    </xdr:to>
    <xdr:cxnSp macro="">
      <xdr:nvCxnSpPr>
        <xdr:cNvPr id="173" name="172 Conector recto"/>
        <xdr:cNvCxnSpPr/>
      </xdr:nvCxnSpPr>
      <xdr:spPr>
        <a:xfrm flipV="1">
          <a:off x="7724775" y="11077575"/>
          <a:ext cx="752475" cy="1905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44</xdr:row>
      <xdr:rowOff>38101</xdr:rowOff>
    </xdr:from>
    <xdr:to>
      <xdr:col>11</xdr:col>
      <xdr:colOff>104775</xdr:colOff>
      <xdr:row>45</xdr:row>
      <xdr:rowOff>0</xdr:rowOff>
    </xdr:to>
    <xdr:cxnSp macro="">
      <xdr:nvCxnSpPr>
        <xdr:cNvPr id="178" name="177 Conector recto"/>
        <xdr:cNvCxnSpPr/>
      </xdr:nvCxnSpPr>
      <xdr:spPr>
        <a:xfrm flipV="1">
          <a:off x="6924675" y="11163301"/>
          <a:ext cx="180975" cy="11429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28575</xdr:rowOff>
    </xdr:from>
    <xdr:to>
      <xdr:col>12</xdr:col>
      <xdr:colOff>9525</xdr:colOff>
      <xdr:row>25</xdr:row>
      <xdr:rowOff>57150</xdr:rowOff>
    </xdr:to>
    <xdr:cxnSp macro="">
      <xdr:nvCxnSpPr>
        <xdr:cNvPr id="76" name="75 Conector recto"/>
        <xdr:cNvCxnSpPr/>
      </xdr:nvCxnSpPr>
      <xdr:spPr>
        <a:xfrm flipH="1">
          <a:off x="1714500" y="3533775"/>
          <a:ext cx="9525" cy="333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133350</xdr:colOff>
      <xdr:row>11</xdr:row>
      <xdr:rowOff>19050</xdr:rowOff>
    </xdr:from>
    <xdr:to>
      <xdr:col>29</xdr:col>
      <xdr:colOff>9526</xdr:colOff>
      <xdr:row>21</xdr:row>
      <xdr:rowOff>142875</xdr:rowOff>
    </xdr:to>
    <xdr:cxnSp macro="">
      <xdr:nvCxnSpPr>
        <xdr:cNvPr id="210" name="209 Conector recto"/>
        <xdr:cNvCxnSpPr/>
      </xdr:nvCxnSpPr>
      <xdr:spPr>
        <a:xfrm flipH="1">
          <a:off x="2705100" y="1695450"/>
          <a:ext cx="1447801" cy="16478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19</xdr:row>
      <xdr:rowOff>95250</xdr:rowOff>
    </xdr:from>
    <xdr:to>
      <xdr:col>28</xdr:col>
      <xdr:colOff>85725</xdr:colOff>
      <xdr:row>19</xdr:row>
      <xdr:rowOff>114300</xdr:rowOff>
    </xdr:to>
    <xdr:cxnSp macro="">
      <xdr:nvCxnSpPr>
        <xdr:cNvPr id="223" name="222 Conector recto de flecha"/>
        <xdr:cNvCxnSpPr/>
      </xdr:nvCxnSpPr>
      <xdr:spPr>
        <a:xfrm>
          <a:off x="2276475" y="2990850"/>
          <a:ext cx="18097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19</xdr:row>
      <xdr:rowOff>76200</xdr:rowOff>
    </xdr:from>
    <xdr:to>
      <xdr:col>15</xdr:col>
      <xdr:colOff>95250</xdr:colOff>
      <xdr:row>19</xdr:row>
      <xdr:rowOff>104775</xdr:rowOff>
    </xdr:to>
    <xdr:cxnSp macro="">
      <xdr:nvCxnSpPr>
        <xdr:cNvPr id="256" name="255 Conector recto de flecha"/>
        <xdr:cNvCxnSpPr/>
      </xdr:nvCxnSpPr>
      <xdr:spPr>
        <a:xfrm flipV="1">
          <a:off x="304800" y="2971800"/>
          <a:ext cx="1933575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76201</xdr:colOff>
      <xdr:row>32</xdr:row>
      <xdr:rowOff>9525</xdr:rowOff>
    </xdr:from>
    <xdr:to>
      <xdr:col>45</xdr:col>
      <xdr:colOff>9525</xdr:colOff>
      <xdr:row>32</xdr:row>
      <xdr:rowOff>28575</xdr:rowOff>
    </xdr:to>
    <xdr:cxnSp macro="">
      <xdr:nvCxnSpPr>
        <xdr:cNvPr id="257" name="256 Conector recto"/>
        <xdr:cNvCxnSpPr/>
      </xdr:nvCxnSpPr>
      <xdr:spPr>
        <a:xfrm flipH="1" flipV="1">
          <a:off x="219076" y="5029200"/>
          <a:ext cx="6219824" cy="1905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45</xdr:row>
      <xdr:rowOff>133350</xdr:rowOff>
    </xdr:from>
    <xdr:to>
      <xdr:col>13</xdr:col>
      <xdr:colOff>38103</xdr:colOff>
      <xdr:row>49</xdr:row>
      <xdr:rowOff>28575</xdr:rowOff>
    </xdr:to>
    <xdr:cxnSp macro="">
      <xdr:nvCxnSpPr>
        <xdr:cNvPr id="259" name="258 Conector recto de flecha"/>
        <xdr:cNvCxnSpPr/>
      </xdr:nvCxnSpPr>
      <xdr:spPr>
        <a:xfrm flipH="1">
          <a:off x="1876425" y="6534150"/>
          <a:ext cx="19053" cy="504825"/>
        </a:xfrm>
        <a:prstGeom prst="straightConnector1">
          <a:avLst/>
        </a:prstGeom>
        <a:ln>
          <a:prstDash val="dash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191" name="190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60" name="259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61" name="260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62" name="261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64" name="263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65" name="264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66" name="265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67" name="266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68" name="267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69" name="268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70" name="269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71" name="270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72" name="271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73" name="272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74" name="273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75" name="274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76" name="275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77" name="276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78" name="277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79" name="278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80" name="279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81" name="280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82" name="281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83" name="282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84" name="283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85" name="284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86" name="285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87" name="286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88" name="287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89" name="288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90" name="289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91" name="290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92" name="291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93" name="292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94" name="293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95" name="294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296" name="295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297" name="296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298" name="297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299" name="298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00" name="299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01" name="300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02" name="301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03" name="302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04" name="303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05" name="304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06" name="305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07" name="306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08" name="307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09" name="308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10" name="309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11" name="310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12" name="311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13" name="312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14" name="313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15" name="314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16" name="315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17" name="316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18" name="317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19" name="318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114300</xdr:colOff>
      <xdr:row>32</xdr:row>
      <xdr:rowOff>114300</xdr:rowOff>
    </xdr:to>
    <xdr:cxnSp macro="">
      <xdr:nvCxnSpPr>
        <xdr:cNvPr id="320" name="319 Conector recto"/>
        <xdr:cNvCxnSpPr/>
      </xdr:nvCxnSpPr>
      <xdr:spPr>
        <a:xfrm flipH="1">
          <a:off x="1028700" y="505777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28575</xdr:colOff>
      <xdr:row>32</xdr:row>
      <xdr:rowOff>123825</xdr:rowOff>
    </xdr:to>
    <xdr:cxnSp macro="">
      <xdr:nvCxnSpPr>
        <xdr:cNvPr id="321" name="320 Conector recto"/>
        <xdr:cNvCxnSpPr/>
      </xdr:nvCxnSpPr>
      <xdr:spPr>
        <a:xfrm flipH="1">
          <a:off x="10858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32</xdr:row>
      <xdr:rowOff>38100</xdr:rowOff>
    </xdr:from>
    <xdr:to>
      <xdr:col>6</xdr:col>
      <xdr:colOff>0</xdr:colOff>
      <xdr:row>32</xdr:row>
      <xdr:rowOff>123825</xdr:rowOff>
    </xdr:to>
    <xdr:cxnSp macro="">
      <xdr:nvCxnSpPr>
        <xdr:cNvPr id="322" name="321 Conector recto"/>
        <xdr:cNvCxnSpPr/>
      </xdr:nvCxnSpPr>
      <xdr:spPr>
        <a:xfrm flipH="1">
          <a:off x="1200150" y="5067300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32</xdr:row>
      <xdr:rowOff>47625</xdr:rowOff>
    </xdr:from>
    <xdr:to>
      <xdr:col>5</xdr:col>
      <xdr:colOff>76200</xdr:colOff>
      <xdr:row>33</xdr:row>
      <xdr:rowOff>0</xdr:rowOff>
    </xdr:to>
    <xdr:cxnSp macro="">
      <xdr:nvCxnSpPr>
        <xdr:cNvPr id="323" name="322 Conector recto"/>
        <xdr:cNvCxnSpPr/>
      </xdr:nvCxnSpPr>
      <xdr:spPr>
        <a:xfrm flipH="1">
          <a:off x="1114426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32</xdr:row>
      <xdr:rowOff>47625</xdr:rowOff>
    </xdr:from>
    <xdr:to>
      <xdr:col>19</xdr:col>
      <xdr:colOff>104775</xdr:colOff>
      <xdr:row>33</xdr:row>
      <xdr:rowOff>0</xdr:rowOff>
    </xdr:to>
    <xdr:cxnSp macro="">
      <xdr:nvCxnSpPr>
        <xdr:cNvPr id="324" name="323 Conector recto"/>
        <xdr:cNvCxnSpPr/>
      </xdr:nvCxnSpPr>
      <xdr:spPr>
        <a:xfrm flipH="1">
          <a:off x="2714626" y="49244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9526</xdr:colOff>
      <xdr:row>32</xdr:row>
      <xdr:rowOff>19050</xdr:rowOff>
    </xdr:from>
    <xdr:to>
      <xdr:col>20</xdr:col>
      <xdr:colOff>114300</xdr:colOff>
      <xdr:row>32</xdr:row>
      <xdr:rowOff>123825</xdr:rowOff>
    </xdr:to>
    <xdr:cxnSp macro="">
      <xdr:nvCxnSpPr>
        <xdr:cNvPr id="325" name="324 Conector recto"/>
        <xdr:cNvCxnSpPr/>
      </xdr:nvCxnSpPr>
      <xdr:spPr>
        <a:xfrm flipH="1">
          <a:off x="2867026" y="4895850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114301</xdr:colOff>
      <xdr:row>32</xdr:row>
      <xdr:rowOff>28575</xdr:rowOff>
    </xdr:from>
    <xdr:to>
      <xdr:col>21</xdr:col>
      <xdr:colOff>76200</xdr:colOff>
      <xdr:row>32</xdr:row>
      <xdr:rowOff>133350</xdr:rowOff>
    </xdr:to>
    <xdr:cxnSp macro="">
      <xdr:nvCxnSpPr>
        <xdr:cNvPr id="326" name="325 Conector recto"/>
        <xdr:cNvCxnSpPr/>
      </xdr:nvCxnSpPr>
      <xdr:spPr>
        <a:xfrm flipH="1">
          <a:off x="2971801" y="490537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47626</xdr:colOff>
      <xdr:row>32</xdr:row>
      <xdr:rowOff>47625</xdr:rowOff>
    </xdr:from>
    <xdr:to>
      <xdr:col>21</xdr:col>
      <xdr:colOff>9525</xdr:colOff>
      <xdr:row>33</xdr:row>
      <xdr:rowOff>0</xdr:rowOff>
    </xdr:to>
    <xdr:cxnSp macro="">
      <xdr:nvCxnSpPr>
        <xdr:cNvPr id="327" name="326 Conector recto"/>
        <xdr:cNvCxnSpPr/>
      </xdr:nvCxnSpPr>
      <xdr:spPr>
        <a:xfrm flipH="1">
          <a:off x="2905126" y="49244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95251</xdr:colOff>
      <xdr:row>32</xdr:row>
      <xdr:rowOff>38100</xdr:rowOff>
    </xdr:from>
    <xdr:to>
      <xdr:col>20</xdr:col>
      <xdr:colOff>57150</xdr:colOff>
      <xdr:row>32</xdr:row>
      <xdr:rowOff>142875</xdr:rowOff>
    </xdr:to>
    <xdr:cxnSp macro="">
      <xdr:nvCxnSpPr>
        <xdr:cNvPr id="328" name="327 Conector recto"/>
        <xdr:cNvCxnSpPr/>
      </xdr:nvCxnSpPr>
      <xdr:spPr>
        <a:xfrm flipH="1">
          <a:off x="2809876" y="4914900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38101</xdr:colOff>
      <xdr:row>32</xdr:row>
      <xdr:rowOff>47625</xdr:rowOff>
    </xdr:from>
    <xdr:to>
      <xdr:col>20</xdr:col>
      <xdr:colOff>0</xdr:colOff>
      <xdr:row>33</xdr:row>
      <xdr:rowOff>0</xdr:rowOff>
    </xdr:to>
    <xdr:cxnSp macro="">
      <xdr:nvCxnSpPr>
        <xdr:cNvPr id="329" name="328 Conector recto"/>
        <xdr:cNvCxnSpPr/>
      </xdr:nvCxnSpPr>
      <xdr:spPr>
        <a:xfrm flipH="1">
          <a:off x="2752726" y="49244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19050</xdr:colOff>
      <xdr:row>32</xdr:row>
      <xdr:rowOff>85725</xdr:rowOff>
    </xdr:from>
    <xdr:to>
      <xdr:col>39</xdr:col>
      <xdr:colOff>123824</xdr:colOff>
      <xdr:row>33</xdr:row>
      <xdr:rowOff>38100</xdr:rowOff>
    </xdr:to>
    <xdr:cxnSp macro="">
      <xdr:nvCxnSpPr>
        <xdr:cNvPr id="330" name="329 Conector recto"/>
        <xdr:cNvCxnSpPr/>
      </xdr:nvCxnSpPr>
      <xdr:spPr>
        <a:xfrm flipH="1">
          <a:off x="5591175" y="5105400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32</xdr:row>
      <xdr:rowOff>47625</xdr:rowOff>
    </xdr:from>
    <xdr:to>
      <xdr:col>39</xdr:col>
      <xdr:colOff>104774</xdr:colOff>
      <xdr:row>33</xdr:row>
      <xdr:rowOff>0</xdr:rowOff>
    </xdr:to>
    <xdr:cxnSp macro="">
      <xdr:nvCxnSpPr>
        <xdr:cNvPr id="331" name="330 Conector recto"/>
        <xdr:cNvCxnSpPr/>
      </xdr:nvCxnSpPr>
      <xdr:spPr>
        <a:xfrm flipH="1">
          <a:off x="5572125" y="49244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114300</xdr:colOff>
      <xdr:row>32</xdr:row>
      <xdr:rowOff>57150</xdr:rowOff>
    </xdr:from>
    <xdr:to>
      <xdr:col>38</xdr:col>
      <xdr:colOff>76199</xdr:colOff>
      <xdr:row>33</xdr:row>
      <xdr:rowOff>9525</xdr:rowOff>
    </xdr:to>
    <xdr:cxnSp macro="">
      <xdr:nvCxnSpPr>
        <xdr:cNvPr id="332" name="331 Conector recto"/>
        <xdr:cNvCxnSpPr/>
      </xdr:nvCxnSpPr>
      <xdr:spPr>
        <a:xfrm flipH="1">
          <a:off x="5400675" y="5076825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32</xdr:row>
      <xdr:rowOff>66675</xdr:rowOff>
    </xdr:from>
    <xdr:to>
      <xdr:col>39</xdr:col>
      <xdr:colOff>9524</xdr:colOff>
      <xdr:row>33</xdr:row>
      <xdr:rowOff>19050</xdr:rowOff>
    </xdr:to>
    <xdr:cxnSp macro="">
      <xdr:nvCxnSpPr>
        <xdr:cNvPr id="333" name="332 Conector recto"/>
        <xdr:cNvCxnSpPr/>
      </xdr:nvCxnSpPr>
      <xdr:spPr>
        <a:xfrm flipH="1">
          <a:off x="5476875" y="5086350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104775</xdr:colOff>
      <xdr:row>32</xdr:row>
      <xdr:rowOff>66675</xdr:rowOff>
    </xdr:from>
    <xdr:to>
      <xdr:col>40</xdr:col>
      <xdr:colOff>66674</xdr:colOff>
      <xdr:row>33</xdr:row>
      <xdr:rowOff>19050</xdr:rowOff>
    </xdr:to>
    <xdr:cxnSp macro="">
      <xdr:nvCxnSpPr>
        <xdr:cNvPr id="334" name="333 Conector recto"/>
        <xdr:cNvCxnSpPr/>
      </xdr:nvCxnSpPr>
      <xdr:spPr>
        <a:xfrm flipH="1">
          <a:off x="5676900" y="5086350"/>
          <a:ext cx="104774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219075</xdr:colOff>
      <xdr:row>68</xdr:row>
      <xdr:rowOff>85725</xdr:rowOff>
    </xdr:from>
    <xdr:to>
      <xdr:col>50</xdr:col>
      <xdr:colOff>704850</xdr:colOff>
      <xdr:row>68</xdr:row>
      <xdr:rowOff>85725</xdr:rowOff>
    </xdr:to>
    <xdr:cxnSp macro="">
      <xdr:nvCxnSpPr>
        <xdr:cNvPr id="3" name="2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219075</xdr:colOff>
      <xdr:row>68</xdr:row>
      <xdr:rowOff>85725</xdr:rowOff>
    </xdr:from>
    <xdr:to>
      <xdr:col>51</xdr:col>
      <xdr:colOff>704850</xdr:colOff>
      <xdr:row>68</xdr:row>
      <xdr:rowOff>85725</xdr:rowOff>
    </xdr:to>
    <xdr:cxnSp macro="">
      <xdr:nvCxnSpPr>
        <xdr:cNvPr id="157" name="156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219075</xdr:colOff>
      <xdr:row>68</xdr:row>
      <xdr:rowOff>85725</xdr:rowOff>
    </xdr:from>
    <xdr:to>
      <xdr:col>52</xdr:col>
      <xdr:colOff>704850</xdr:colOff>
      <xdr:row>68</xdr:row>
      <xdr:rowOff>85725</xdr:rowOff>
    </xdr:to>
    <xdr:cxnSp macro="">
      <xdr:nvCxnSpPr>
        <xdr:cNvPr id="158" name="157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219075</xdr:colOff>
      <xdr:row>68</xdr:row>
      <xdr:rowOff>85725</xdr:rowOff>
    </xdr:from>
    <xdr:to>
      <xdr:col>53</xdr:col>
      <xdr:colOff>704850</xdr:colOff>
      <xdr:row>68</xdr:row>
      <xdr:rowOff>85725</xdr:rowOff>
    </xdr:to>
    <xdr:cxnSp macro="">
      <xdr:nvCxnSpPr>
        <xdr:cNvPr id="159" name="158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219075</xdr:colOff>
      <xdr:row>69</xdr:row>
      <xdr:rowOff>85725</xdr:rowOff>
    </xdr:from>
    <xdr:to>
      <xdr:col>50</xdr:col>
      <xdr:colOff>704850</xdr:colOff>
      <xdr:row>69</xdr:row>
      <xdr:rowOff>85725</xdr:rowOff>
    </xdr:to>
    <xdr:cxnSp macro="">
      <xdr:nvCxnSpPr>
        <xdr:cNvPr id="160" name="159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219075</xdr:colOff>
      <xdr:row>69</xdr:row>
      <xdr:rowOff>85725</xdr:rowOff>
    </xdr:from>
    <xdr:to>
      <xdr:col>51</xdr:col>
      <xdr:colOff>704850</xdr:colOff>
      <xdr:row>69</xdr:row>
      <xdr:rowOff>85725</xdr:rowOff>
    </xdr:to>
    <xdr:cxnSp macro="">
      <xdr:nvCxnSpPr>
        <xdr:cNvPr id="170" name="169 Conector recto"/>
        <xdr:cNvCxnSpPr/>
      </xdr:nvCxnSpPr>
      <xdr:spPr>
        <a:xfrm>
          <a:off x="11734800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219075</xdr:colOff>
      <xdr:row>69</xdr:row>
      <xdr:rowOff>85725</xdr:rowOff>
    </xdr:from>
    <xdr:to>
      <xdr:col>52</xdr:col>
      <xdr:colOff>704850</xdr:colOff>
      <xdr:row>69</xdr:row>
      <xdr:rowOff>85725</xdr:rowOff>
    </xdr:to>
    <xdr:cxnSp macro="">
      <xdr:nvCxnSpPr>
        <xdr:cNvPr id="171" name="170 Conector recto"/>
        <xdr:cNvCxnSpPr/>
      </xdr:nvCxnSpPr>
      <xdr:spPr>
        <a:xfrm>
          <a:off x="1258252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219075</xdr:colOff>
      <xdr:row>69</xdr:row>
      <xdr:rowOff>85725</xdr:rowOff>
    </xdr:from>
    <xdr:to>
      <xdr:col>53</xdr:col>
      <xdr:colOff>704850</xdr:colOff>
      <xdr:row>69</xdr:row>
      <xdr:rowOff>85725</xdr:rowOff>
    </xdr:to>
    <xdr:cxnSp macro="">
      <xdr:nvCxnSpPr>
        <xdr:cNvPr id="174" name="173 Conector recto"/>
        <xdr:cNvCxnSpPr/>
      </xdr:nvCxnSpPr>
      <xdr:spPr>
        <a:xfrm>
          <a:off x="13430250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219075</xdr:colOff>
      <xdr:row>69</xdr:row>
      <xdr:rowOff>85725</xdr:rowOff>
    </xdr:from>
    <xdr:to>
      <xdr:col>50</xdr:col>
      <xdr:colOff>704850</xdr:colOff>
      <xdr:row>69</xdr:row>
      <xdr:rowOff>85725</xdr:rowOff>
    </xdr:to>
    <xdr:cxnSp macro="">
      <xdr:nvCxnSpPr>
        <xdr:cNvPr id="176" name="175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219075</xdr:colOff>
      <xdr:row>59</xdr:row>
      <xdr:rowOff>85725</xdr:rowOff>
    </xdr:from>
    <xdr:to>
      <xdr:col>50</xdr:col>
      <xdr:colOff>704850</xdr:colOff>
      <xdr:row>59</xdr:row>
      <xdr:rowOff>85725</xdr:rowOff>
    </xdr:to>
    <xdr:cxnSp macro="">
      <xdr:nvCxnSpPr>
        <xdr:cNvPr id="177" name="176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219075</xdr:colOff>
      <xdr:row>49</xdr:row>
      <xdr:rowOff>85725</xdr:rowOff>
    </xdr:from>
    <xdr:to>
      <xdr:col>50</xdr:col>
      <xdr:colOff>704850</xdr:colOff>
      <xdr:row>49</xdr:row>
      <xdr:rowOff>85725</xdr:rowOff>
    </xdr:to>
    <xdr:cxnSp macro="">
      <xdr:nvCxnSpPr>
        <xdr:cNvPr id="179" name="178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219075</xdr:colOff>
      <xdr:row>59</xdr:row>
      <xdr:rowOff>85725</xdr:rowOff>
    </xdr:from>
    <xdr:to>
      <xdr:col>51</xdr:col>
      <xdr:colOff>704850</xdr:colOff>
      <xdr:row>59</xdr:row>
      <xdr:rowOff>85725</xdr:rowOff>
    </xdr:to>
    <xdr:cxnSp macro="">
      <xdr:nvCxnSpPr>
        <xdr:cNvPr id="180" name="179 Conector recto"/>
        <xdr:cNvCxnSpPr/>
      </xdr:nvCxnSpPr>
      <xdr:spPr>
        <a:xfrm>
          <a:off x="108870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219075</xdr:colOff>
      <xdr:row>68</xdr:row>
      <xdr:rowOff>85725</xdr:rowOff>
    </xdr:from>
    <xdr:to>
      <xdr:col>54</xdr:col>
      <xdr:colOff>704850</xdr:colOff>
      <xdr:row>68</xdr:row>
      <xdr:rowOff>85725</xdr:rowOff>
    </xdr:to>
    <xdr:cxnSp macro="">
      <xdr:nvCxnSpPr>
        <xdr:cNvPr id="182" name="181 Conector recto"/>
        <xdr:cNvCxnSpPr/>
      </xdr:nvCxnSpPr>
      <xdr:spPr>
        <a:xfrm>
          <a:off x="13430250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219075</xdr:colOff>
      <xdr:row>69</xdr:row>
      <xdr:rowOff>85725</xdr:rowOff>
    </xdr:from>
    <xdr:to>
      <xdr:col>53</xdr:col>
      <xdr:colOff>704850</xdr:colOff>
      <xdr:row>69</xdr:row>
      <xdr:rowOff>85725</xdr:rowOff>
    </xdr:to>
    <xdr:cxnSp macro="">
      <xdr:nvCxnSpPr>
        <xdr:cNvPr id="183" name="182 Conector recto"/>
        <xdr:cNvCxnSpPr/>
      </xdr:nvCxnSpPr>
      <xdr:spPr>
        <a:xfrm>
          <a:off x="13430250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219075</xdr:colOff>
      <xdr:row>69</xdr:row>
      <xdr:rowOff>85725</xdr:rowOff>
    </xdr:from>
    <xdr:to>
      <xdr:col>54</xdr:col>
      <xdr:colOff>704850</xdr:colOff>
      <xdr:row>69</xdr:row>
      <xdr:rowOff>85725</xdr:rowOff>
    </xdr:to>
    <xdr:cxnSp macro="">
      <xdr:nvCxnSpPr>
        <xdr:cNvPr id="184" name="183 Conector recto"/>
        <xdr:cNvCxnSpPr/>
      </xdr:nvCxnSpPr>
      <xdr:spPr>
        <a:xfrm>
          <a:off x="14277975" y="11201400"/>
          <a:ext cx="485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21</xdr:row>
      <xdr:rowOff>133350</xdr:rowOff>
    </xdr:from>
    <xdr:to>
      <xdr:col>23</xdr:col>
      <xdr:colOff>9525</xdr:colOff>
      <xdr:row>31</xdr:row>
      <xdr:rowOff>142875</xdr:rowOff>
    </xdr:to>
    <xdr:cxnSp macro="">
      <xdr:nvCxnSpPr>
        <xdr:cNvPr id="5" name="4 Conector recto de flecha"/>
        <xdr:cNvCxnSpPr/>
      </xdr:nvCxnSpPr>
      <xdr:spPr>
        <a:xfrm>
          <a:off x="3286125" y="3476625"/>
          <a:ext cx="9525" cy="1533525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F374"/>
  <sheetViews>
    <sheetView tabSelected="1" topLeftCell="AQ94" workbookViewId="0">
      <selection activeCell="BA110" sqref="BA110"/>
    </sheetView>
  </sheetViews>
  <sheetFormatPr baseColWidth="10" defaultRowHeight="15" x14ac:dyDescent="0.25"/>
  <cols>
    <col min="1" max="44" width="2.140625" customWidth="1"/>
    <col min="45" max="45" width="2" customWidth="1"/>
    <col min="46" max="68" width="12.7109375" customWidth="1"/>
    <col min="71" max="71" width="12.5703125" customWidth="1"/>
    <col min="72" max="72" width="0" hidden="1" customWidth="1"/>
    <col min="74" max="74" width="12.7109375" customWidth="1"/>
    <col min="75" max="75" width="12" bestFit="1" customWidth="1"/>
  </cols>
  <sheetData>
    <row r="1" spans="18:56" ht="9" customHeight="1" x14ac:dyDescent="0.25"/>
    <row r="2" spans="18:56" ht="26.25" customHeight="1" x14ac:dyDescent="0.35">
      <c r="AV2" s="14" t="s">
        <v>89</v>
      </c>
    </row>
    <row r="3" spans="18:56" ht="12" customHeight="1" x14ac:dyDescent="0.25"/>
    <row r="4" spans="18:56" ht="12" customHeight="1" x14ac:dyDescent="0.25"/>
    <row r="5" spans="18:56" ht="12" customHeight="1" x14ac:dyDescent="0.25">
      <c r="AT5" s="5" t="s">
        <v>88</v>
      </c>
      <c r="AW5" s="17" t="s">
        <v>90</v>
      </c>
      <c r="AX5" s="17"/>
      <c r="BB5" s="19" t="s">
        <v>92</v>
      </c>
    </row>
    <row r="6" spans="18:56" ht="12" customHeight="1" x14ac:dyDescent="0.25">
      <c r="AU6" t="s">
        <v>33</v>
      </c>
      <c r="AW6" s="17"/>
      <c r="AX6" s="17"/>
    </row>
    <row r="7" spans="18:56" ht="12" customHeight="1" x14ac:dyDescent="0.25">
      <c r="AT7" t="s">
        <v>80</v>
      </c>
      <c r="AU7" s="8">
        <f>32*AX85/(12*0.34)</f>
        <v>6.793396818866376</v>
      </c>
      <c r="AW7" s="2" t="s">
        <v>3</v>
      </c>
      <c r="AY7">
        <v>2.1</v>
      </c>
    </row>
    <row r="8" spans="18:56" ht="12" customHeight="1" x14ac:dyDescent="0.25">
      <c r="AT8" t="s">
        <v>81</v>
      </c>
      <c r="AW8" t="s">
        <v>5</v>
      </c>
      <c r="AY8">
        <v>0.5</v>
      </c>
      <c r="AZ8" t="s">
        <v>91</v>
      </c>
      <c r="BB8" t="s">
        <v>0</v>
      </c>
      <c r="BC8" s="1">
        <f>(6/4)*2.1*AY12</f>
        <v>8.0325000000000006</v>
      </c>
      <c r="BD8" s="1" t="s">
        <v>1</v>
      </c>
    </row>
    <row r="9" spans="18:56" ht="12" customHeight="1" x14ac:dyDescent="0.25">
      <c r="AW9" s="2" t="s">
        <v>7</v>
      </c>
      <c r="AY9">
        <v>0.55000000000000004</v>
      </c>
      <c r="AZ9" t="s">
        <v>91</v>
      </c>
      <c r="BB9" t="s">
        <v>2</v>
      </c>
      <c r="BC9" s="1">
        <f>(6/2)*2.1*AY12</f>
        <v>16.065000000000001</v>
      </c>
      <c r="BD9" s="1" t="s">
        <v>1</v>
      </c>
    </row>
    <row r="10" spans="18:56" ht="12" customHeight="1" x14ac:dyDescent="0.25">
      <c r="AT10" t="s">
        <v>82</v>
      </c>
      <c r="AU10" s="8">
        <f>32*AX85/(17*0.33)</f>
        <v>4.9406522319028188</v>
      </c>
      <c r="AW10" s="2" t="s">
        <v>8</v>
      </c>
      <c r="AY10">
        <v>1</v>
      </c>
      <c r="AZ10" t="s">
        <v>91</v>
      </c>
      <c r="BB10" t="s">
        <v>4</v>
      </c>
      <c r="BC10" s="1">
        <f>BC9</f>
        <v>16.065000000000001</v>
      </c>
      <c r="BD10" s="1" t="s">
        <v>1</v>
      </c>
    </row>
    <row r="11" spans="18:56" ht="12" customHeight="1" x14ac:dyDescent="0.25">
      <c r="AE11" s="6" t="s">
        <v>14</v>
      </c>
      <c r="AT11" t="s">
        <v>83</v>
      </c>
      <c r="AW11" t="s">
        <v>10</v>
      </c>
      <c r="AY11">
        <v>0.5</v>
      </c>
      <c r="AZ11" t="s">
        <v>91</v>
      </c>
      <c r="BB11" t="s">
        <v>6</v>
      </c>
      <c r="BC11" s="1">
        <v>8</v>
      </c>
      <c r="BD11" s="1" t="s">
        <v>1</v>
      </c>
    </row>
    <row r="12" spans="18:56" ht="12" customHeight="1" x14ac:dyDescent="0.25">
      <c r="AW12" s="18" t="s">
        <v>12</v>
      </c>
      <c r="AY12" s="5">
        <f>SUM(AY8:AY11)</f>
        <v>2.5499999999999998</v>
      </c>
      <c r="AZ12" t="s">
        <v>91</v>
      </c>
      <c r="BA12" s="17" t="s">
        <v>95</v>
      </c>
    </row>
    <row r="13" spans="18:56" ht="12" customHeight="1" x14ac:dyDescent="0.25">
      <c r="W13" s="5">
        <v>2</v>
      </c>
      <c r="AT13" t="s">
        <v>84</v>
      </c>
      <c r="AU13" s="1">
        <f>32/17*0.33</f>
        <v>0.62117647058823533</v>
      </c>
      <c r="BB13" t="s">
        <v>96</v>
      </c>
      <c r="BC13" t="s">
        <v>1</v>
      </c>
    </row>
    <row r="14" spans="18:56" ht="12" customHeight="1" x14ac:dyDescent="0.25">
      <c r="R14" s="13" t="s">
        <v>15</v>
      </c>
      <c r="AT14" t="s">
        <v>83</v>
      </c>
      <c r="AW14" s="17" t="s">
        <v>93</v>
      </c>
      <c r="BB14" s="5" t="s">
        <v>27</v>
      </c>
      <c r="BC14" s="5" t="s">
        <v>26</v>
      </c>
    </row>
    <row r="15" spans="18:56" ht="12" customHeight="1" x14ac:dyDescent="0.25">
      <c r="AW15" t="s">
        <v>9</v>
      </c>
      <c r="AX15" s="1">
        <f>SUM(BC8:BC11)</f>
        <v>48.162500000000009</v>
      </c>
      <c r="AY15" s="1" t="s">
        <v>1</v>
      </c>
      <c r="BA15">
        <v>1</v>
      </c>
      <c r="BB15">
        <v>32</v>
      </c>
    </row>
    <row r="16" spans="18:56" ht="12" customHeight="1" x14ac:dyDescent="0.25">
      <c r="AK16" s="15">
        <v>7</v>
      </c>
      <c r="AU16">
        <f>COS(63.24*2*3.1416/360)*1.73</f>
        <v>0.77893593196776056</v>
      </c>
      <c r="AW16" t="s">
        <v>11</v>
      </c>
      <c r="BA16">
        <v>2</v>
      </c>
      <c r="BB16">
        <v>24</v>
      </c>
    </row>
    <row r="17" spans="4:56" ht="12" customHeight="1" x14ac:dyDescent="0.25">
      <c r="W17" s="5">
        <v>4</v>
      </c>
      <c r="AW17" s="15" t="s">
        <v>13</v>
      </c>
      <c r="AX17">
        <f>(BC9*3+BC10*6+BC11*9)/9</f>
        <v>24.065000000000005</v>
      </c>
      <c r="BA17">
        <v>3</v>
      </c>
      <c r="BB17">
        <v>13.8</v>
      </c>
    </row>
    <row r="18" spans="4:56" ht="12" customHeight="1" x14ac:dyDescent="0.25">
      <c r="H18" s="5">
        <v>1</v>
      </c>
      <c r="R18" s="4">
        <v>3</v>
      </c>
      <c r="AT18" s="15" t="s">
        <v>103</v>
      </c>
      <c r="AW18" t="s">
        <v>94</v>
      </c>
      <c r="AX18">
        <f>AX15-AX17</f>
        <v>24.097500000000004</v>
      </c>
      <c r="BA18">
        <v>4</v>
      </c>
      <c r="BC18">
        <v>16</v>
      </c>
    </row>
    <row r="19" spans="4:56" ht="12" customHeight="1" x14ac:dyDescent="0.25">
      <c r="Y19" t="s">
        <v>19</v>
      </c>
      <c r="AH19" t="s">
        <v>19</v>
      </c>
      <c r="AO19" s="6" t="s">
        <v>17</v>
      </c>
      <c r="AT19" s="17" t="s">
        <v>104</v>
      </c>
      <c r="BA19">
        <v>5</v>
      </c>
      <c r="BC19">
        <v>28</v>
      </c>
    </row>
    <row r="20" spans="4:56" ht="12" customHeight="1" x14ac:dyDescent="0.25">
      <c r="D20" s="13" t="s">
        <v>16</v>
      </c>
      <c r="AT20" t="s">
        <v>20</v>
      </c>
      <c r="AU20" t="s">
        <v>102</v>
      </c>
      <c r="BA20">
        <v>6</v>
      </c>
      <c r="BC20">
        <v>28</v>
      </c>
    </row>
    <row r="21" spans="4:56" ht="12" customHeight="1" x14ac:dyDescent="0.25">
      <c r="M21" t="s">
        <v>87</v>
      </c>
      <c r="AT21">
        <v>1</v>
      </c>
      <c r="AU21">
        <v>335</v>
      </c>
      <c r="AW21" s="17" t="s">
        <v>97</v>
      </c>
      <c r="AZ21" s="29" t="s">
        <v>172</v>
      </c>
      <c r="BA21">
        <v>7</v>
      </c>
      <c r="BB21">
        <v>23</v>
      </c>
    </row>
    <row r="22" spans="4:56" ht="12" customHeight="1" x14ac:dyDescent="0.25">
      <c r="AT22">
        <v>2</v>
      </c>
      <c r="AU22">
        <v>335</v>
      </c>
    </row>
    <row r="23" spans="4:56" ht="12" customHeight="1" x14ac:dyDescent="0.25">
      <c r="N23" s="5">
        <v>5</v>
      </c>
      <c r="AI23" s="5">
        <v>6</v>
      </c>
      <c r="AT23">
        <v>3</v>
      </c>
      <c r="AU23">
        <v>173</v>
      </c>
      <c r="AW23" s="5" t="s">
        <v>34</v>
      </c>
      <c r="BB23" s="17" t="s">
        <v>99</v>
      </c>
      <c r="BD23" t="s">
        <v>37</v>
      </c>
    </row>
    <row r="24" spans="4:56" ht="12" customHeight="1" x14ac:dyDescent="0.25">
      <c r="AT24">
        <v>4</v>
      </c>
      <c r="AU24">
        <v>382</v>
      </c>
      <c r="AW24" s="15" t="s">
        <v>30</v>
      </c>
      <c r="AX24" t="s">
        <v>119</v>
      </c>
    </row>
    <row r="25" spans="4:56" ht="12" customHeight="1" x14ac:dyDescent="0.25">
      <c r="AT25">
        <v>5</v>
      </c>
      <c r="AU25">
        <v>382</v>
      </c>
      <c r="AX25">
        <f>0.65*18/1.3</f>
        <v>9</v>
      </c>
      <c r="AY25" t="s">
        <v>120</v>
      </c>
      <c r="AZ25" s="20" t="s">
        <v>39</v>
      </c>
      <c r="BA25" t="s">
        <v>100</v>
      </c>
      <c r="BC25" s="20" t="s">
        <v>38</v>
      </c>
      <c r="BD25" t="s">
        <v>112</v>
      </c>
    </row>
    <row r="26" spans="4:56" ht="12" customHeight="1" x14ac:dyDescent="0.25">
      <c r="AE26" t="s">
        <v>18</v>
      </c>
      <c r="AT26">
        <v>6</v>
      </c>
      <c r="AU26">
        <v>518</v>
      </c>
      <c r="AX26" s="7" t="s">
        <v>29</v>
      </c>
      <c r="AY26" t="s">
        <v>70</v>
      </c>
      <c r="AZ26" t="s">
        <v>110</v>
      </c>
      <c r="BA26" t="s">
        <v>111</v>
      </c>
      <c r="BC26" t="s">
        <v>113</v>
      </c>
    </row>
    <row r="27" spans="4:56" ht="12" customHeight="1" x14ac:dyDescent="0.25">
      <c r="AT27">
        <v>7</v>
      </c>
      <c r="AU27">
        <v>425</v>
      </c>
      <c r="AW27" s="16" t="s">
        <v>98</v>
      </c>
      <c r="AY27">
        <v>1</v>
      </c>
      <c r="AZ27" s="8">
        <f>BB15/$AW$30*1.5</f>
        <v>53.333333333333336</v>
      </c>
      <c r="BA27" s="8">
        <f>AZ27^(1/2)</f>
        <v>7.3029674334022152</v>
      </c>
      <c r="BC27" s="8">
        <f>(4*AZ27/3.14)^(1/2)</f>
        <v>8.2426058996524354</v>
      </c>
    </row>
    <row r="28" spans="4:56" ht="12" customHeight="1" x14ac:dyDescent="0.25">
      <c r="Y28" t="s">
        <v>174</v>
      </c>
      <c r="AW28" t="s">
        <v>170</v>
      </c>
      <c r="AY28">
        <v>2</v>
      </c>
      <c r="AZ28" s="8">
        <f>BB16/$AW$30*1.5</f>
        <v>40</v>
      </c>
      <c r="BA28" s="8">
        <f t="shared" ref="BA28:BA30" si="0">AZ28^(1/2)</f>
        <v>6.324555320336759</v>
      </c>
      <c r="BC28" s="8">
        <f t="shared" ref="BC28:BC30" si="1">(4*AZ28/3.14)^(1/2)</f>
        <v>7.1383061024824963</v>
      </c>
    </row>
    <row r="29" spans="4:56" ht="12" customHeight="1" x14ac:dyDescent="0.25">
      <c r="AY29">
        <v>3</v>
      </c>
      <c r="AZ29" s="8">
        <f>BB17/$AW$30*1.5</f>
        <v>23</v>
      </c>
      <c r="BA29" s="8">
        <f t="shared" si="0"/>
        <v>4.7958315233127191</v>
      </c>
      <c r="BC29" s="8">
        <f t="shared" si="1"/>
        <v>5.4128886056637855</v>
      </c>
    </row>
    <row r="30" spans="4:56" ht="12" customHeight="1" x14ac:dyDescent="0.25">
      <c r="AW30" s="17">
        <v>0.9</v>
      </c>
      <c r="AX30" t="s">
        <v>31</v>
      </c>
      <c r="AY30">
        <v>7</v>
      </c>
      <c r="AZ30" s="8">
        <f>BB21/$AW$30*1.5</f>
        <v>38.333333333333329</v>
      </c>
      <c r="BA30" s="8">
        <f t="shared" si="0"/>
        <v>6.1913918736689029</v>
      </c>
      <c r="BC30" s="8">
        <f t="shared" si="1"/>
        <v>6.9880091415372414</v>
      </c>
    </row>
    <row r="31" spans="4:56" ht="12" customHeight="1" x14ac:dyDescent="0.25"/>
    <row r="32" spans="4:56" ht="12" customHeight="1" x14ac:dyDescent="0.25">
      <c r="AW32" s="5" t="s">
        <v>35</v>
      </c>
    </row>
    <row r="33" spans="6:57" ht="12" customHeight="1" x14ac:dyDescent="0.25">
      <c r="AT33" s="20" t="s">
        <v>169</v>
      </c>
    </row>
    <row r="34" spans="6:57" ht="12" customHeight="1" x14ac:dyDescent="0.25">
      <c r="AB34" s="3" t="s">
        <v>105</v>
      </c>
      <c r="AT34" s="29" t="s">
        <v>171</v>
      </c>
      <c r="AV34" s="5" t="s">
        <v>39</v>
      </c>
      <c r="AW34" s="17" t="s">
        <v>101</v>
      </c>
      <c r="AY34">
        <v>12</v>
      </c>
      <c r="AZ34">
        <v>13</v>
      </c>
      <c r="BA34">
        <v>14</v>
      </c>
      <c r="BB34">
        <v>15</v>
      </c>
      <c r="BC34">
        <v>16</v>
      </c>
      <c r="BD34">
        <v>17</v>
      </c>
      <c r="BE34">
        <v>18</v>
      </c>
    </row>
    <row r="35" spans="6:57" ht="12" customHeight="1" x14ac:dyDescent="0.25">
      <c r="J35" s="17" t="s">
        <v>106</v>
      </c>
      <c r="AT35" t="s">
        <v>146</v>
      </c>
      <c r="AX35" t="s">
        <v>107</v>
      </c>
      <c r="AY35" s="8">
        <f>AY34^3/6</f>
        <v>288</v>
      </c>
      <c r="AZ35" s="8">
        <f t="shared" ref="AZ35:BA35" si="2">AZ34^3/6</f>
        <v>366.16666666666669</v>
      </c>
      <c r="BA35" s="8">
        <f t="shared" si="2"/>
        <v>457.33333333333331</v>
      </c>
      <c r="BB35" s="8">
        <f>BB34^3/6</f>
        <v>562.5</v>
      </c>
      <c r="BC35" s="8">
        <f t="shared" ref="BC35:BD35" si="3">BC34^3/6</f>
        <v>682.66666666666663</v>
      </c>
      <c r="BD35" s="8">
        <f t="shared" si="3"/>
        <v>818.83333333333337</v>
      </c>
      <c r="BE35" s="8">
        <f>18^3/6</f>
        <v>972</v>
      </c>
    </row>
    <row r="36" spans="6:57" ht="12" customHeight="1" x14ac:dyDescent="0.25">
      <c r="AT36" t="s">
        <v>147</v>
      </c>
      <c r="AV36" s="3" t="s">
        <v>40</v>
      </c>
      <c r="AX36" t="s">
        <v>108</v>
      </c>
      <c r="AY36">
        <f>AY35/AY34^2</f>
        <v>2</v>
      </c>
      <c r="AZ36" s="8">
        <f t="shared" ref="AZ36:BA36" si="4">AZ35/AZ34^2</f>
        <v>2.166666666666667</v>
      </c>
      <c r="BA36" s="8">
        <f t="shared" si="4"/>
        <v>2.333333333333333</v>
      </c>
      <c r="BB36">
        <f>BB35/BB34^2</f>
        <v>2.5</v>
      </c>
      <c r="BC36" s="8">
        <f>BC35/BC34^2</f>
        <v>2.6666666666666665</v>
      </c>
      <c r="BD36" s="8">
        <f>BD35/BD34^2</f>
        <v>2.8333333333333335</v>
      </c>
      <c r="BE36" s="1">
        <f>BE35/BE34^2</f>
        <v>3</v>
      </c>
    </row>
    <row r="37" spans="6:57" ht="12" customHeight="1" x14ac:dyDescent="0.25">
      <c r="AT37" t="s">
        <v>148</v>
      </c>
      <c r="AX37" s="3" t="s">
        <v>114</v>
      </c>
    </row>
    <row r="38" spans="6:57" ht="12" customHeight="1" x14ac:dyDescent="0.25">
      <c r="F38" s="3" t="s">
        <v>171</v>
      </c>
      <c r="AV38" t="s">
        <v>49</v>
      </c>
      <c r="AX38" s="3">
        <v>335</v>
      </c>
    </row>
    <row r="39" spans="6:57" ht="12" customHeight="1" x14ac:dyDescent="0.25">
      <c r="Y39" t="s">
        <v>25</v>
      </c>
      <c r="AV39" s="3" t="s">
        <v>36</v>
      </c>
      <c r="AX39" t="s">
        <v>115</v>
      </c>
      <c r="AY39" s="11">
        <f t="shared" ref="AY39:BE39" si="5">$AX$38/AY36</f>
        <v>167.5</v>
      </c>
      <c r="AZ39" s="11">
        <f t="shared" si="5"/>
        <v>154.61538461538458</v>
      </c>
      <c r="BA39" s="11">
        <f t="shared" si="5"/>
        <v>143.57142857142858</v>
      </c>
      <c r="BB39">
        <f t="shared" si="5"/>
        <v>134</v>
      </c>
      <c r="BC39" s="11">
        <f t="shared" si="5"/>
        <v>125.625</v>
      </c>
      <c r="BD39" s="11">
        <f t="shared" si="5"/>
        <v>118.23529411764706</v>
      </c>
      <c r="BE39" s="11">
        <f t="shared" si="5"/>
        <v>111.66666666666667</v>
      </c>
    </row>
    <row r="40" spans="6:57" ht="12" customHeight="1" x14ac:dyDescent="0.25">
      <c r="V40" t="s">
        <v>78</v>
      </c>
      <c r="Z40">
        <v>1</v>
      </c>
      <c r="AT40" t="s">
        <v>149</v>
      </c>
      <c r="AX40" t="s">
        <v>116</v>
      </c>
      <c r="AY40">
        <v>0.11</v>
      </c>
      <c r="AZ40">
        <v>0.13</v>
      </c>
      <c r="BA40">
        <v>0.15</v>
      </c>
      <c r="BB40">
        <v>0.17</v>
      </c>
      <c r="BC40">
        <v>0.19</v>
      </c>
      <c r="BD40">
        <v>0.2</v>
      </c>
      <c r="BE40">
        <v>0.24</v>
      </c>
    </row>
    <row r="41" spans="6:57" ht="12" customHeight="1" x14ac:dyDescent="0.25">
      <c r="Z41">
        <v>2</v>
      </c>
      <c r="AT41" t="s">
        <v>152</v>
      </c>
      <c r="AV41" t="s">
        <v>109</v>
      </c>
      <c r="AW41" t="s">
        <v>118</v>
      </c>
      <c r="AX41" s="15" t="s">
        <v>117</v>
      </c>
      <c r="AY41" s="8">
        <f t="shared" ref="AY41:BE41" si="6">($BB$15/(AY34^2)*1.5)</f>
        <v>0.33333333333333331</v>
      </c>
      <c r="AZ41" s="8">
        <f t="shared" si="6"/>
        <v>0.28402366863905326</v>
      </c>
      <c r="BA41" s="8">
        <f t="shared" si="6"/>
        <v>0.24489795918367346</v>
      </c>
      <c r="BB41" s="8">
        <f t="shared" si="6"/>
        <v>0.21333333333333332</v>
      </c>
      <c r="BC41" s="8">
        <f t="shared" si="6"/>
        <v>0.1875</v>
      </c>
      <c r="BD41" s="8">
        <f t="shared" si="6"/>
        <v>0.16608996539792387</v>
      </c>
      <c r="BE41" s="8">
        <f t="shared" si="6"/>
        <v>0.14814814814814814</v>
      </c>
    </row>
    <row r="42" spans="6:57" ht="12" customHeight="1" x14ac:dyDescent="0.25">
      <c r="Z42">
        <v>3</v>
      </c>
      <c r="AL42" t="s">
        <v>21</v>
      </c>
      <c r="AT42" t="s">
        <v>154</v>
      </c>
      <c r="AU42">
        <v>32</v>
      </c>
      <c r="AV42" t="s">
        <v>44</v>
      </c>
      <c r="AW42" s="7" t="s">
        <v>48</v>
      </c>
      <c r="AX42" s="9" t="s">
        <v>73</v>
      </c>
      <c r="AY42" s="22">
        <f t="shared" ref="AY42:BA42" si="7">AY41/(AY40*1.8)</f>
        <v>1.6835016835016834</v>
      </c>
      <c r="AZ42" s="22">
        <f t="shared" si="7"/>
        <v>1.2137763617053559</v>
      </c>
      <c r="BA42" s="23">
        <f t="shared" si="7"/>
        <v>0.90702947845804982</v>
      </c>
      <c r="BB42" s="22">
        <f>BB41/(BB40*1.8)</f>
        <v>0.69716775599128522</v>
      </c>
      <c r="BC42" s="22">
        <f>BC41/(BC40*1.8)</f>
        <v>0.54824561403508765</v>
      </c>
      <c r="BD42" s="22">
        <f>BD41/(BD40*1.8)</f>
        <v>0.46136101499423293</v>
      </c>
      <c r="BE42" s="22">
        <f>BE41/(BE40*1.8)</f>
        <v>0.34293552812071332</v>
      </c>
    </row>
    <row r="43" spans="6:57" ht="12" customHeight="1" x14ac:dyDescent="0.25">
      <c r="Z43">
        <v>4</v>
      </c>
      <c r="AT43" t="s">
        <v>153</v>
      </c>
      <c r="AU43" s="8">
        <f>COS((30/360)*6.28)</f>
        <v>0.86615809440546299</v>
      </c>
      <c r="AV43" t="s">
        <v>41</v>
      </c>
      <c r="AW43" t="s">
        <v>42</v>
      </c>
      <c r="AX43">
        <v>173</v>
      </c>
    </row>
    <row r="44" spans="6:57" ht="12" customHeight="1" x14ac:dyDescent="0.25">
      <c r="Z44">
        <v>5</v>
      </c>
      <c r="AT44" t="s">
        <v>155</v>
      </c>
      <c r="AU44">
        <v>3.4</v>
      </c>
      <c r="AV44" s="7"/>
      <c r="AW44" t="s">
        <v>43</v>
      </c>
      <c r="AX44" t="s">
        <v>115</v>
      </c>
      <c r="AY44" s="11">
        <f t="shared" ref="AY44:BE44" si="8">$AX$43/AY36</f>
        <v>86.5</v>
      </c>
      <c r="AZ44" s="11">
        <f t="shared" si="8"/>
        <v>79.84615384615384</v>
      </c>
      <c r="BA44" s="11">
        <f t="shared" si="8"/>
        <v>74.142857142857153</v>
      </c>
      <c r="BB44">
        <f t="shared" si="8"/>
        <v>69.2</v>
      </c>
      <c r="BC44">
        <f t="shared" si="8"/>
        <v>64.875</v>
      </c>
      <c r="BD44" s="8">
        <f t="shared" si="8"/>
        <v>61.058823529411761</v>
      </c>
      <c r="BE44" s="8">
        <f t="shared" si="8"/>
        <v>57.666666666666664</v>
      </c>
    </row>
    <row r="45" spans="6:57" ht="12" customHeight="1" x14ac:dyDescent="0.25">
      <c r="R45" t="s">
        <v>86</v>
      </c>
      <c r="AT45" t="s">
        <v>167</v>
      </c>
      <c r="AU45" s="27">
        <f>32000*AU43/(160*3.4)</f>
        <v>50.950476141497823</v>
      </c>
      <c r="AV45" t="s">
        <v>45</v>
      </c>
      <c r="AW45" t="s">
        <v>47</v>
      </c>
      <c r="AX45" t="s">
        <v>116</v>
      </c>
      <c r="AY45">
        <v>0.38</v>
      </c>
      <c r="AZ45">
        <v>0.43</v>
      </c>
      <c r="BA45">
        <v>0.55000000000000004</v>
      </c>
      <c r="BB45">
        <v>0.52</v>
      </c>
      <c r="BC45">
        <v>0.59</v>
      </c>
      <c r="BD45">
        <v>0.64</v>
      </c>
      <c r="BE45">
        <v>0.68</v>
      </c>
    </row>
    <row r="46" spans="6:57" ht="12" customHeight="1" x14ac:dyDescent="0.25">
      <c r="G46" t="s">
        <v>85</v>
      </c>
      <c r="T46" t="s">
        <v>79</v>
      </c>
      <c r="Z46" t="s">
        <v>28</v>
      </c>
      <c r="AV46" t="s">
        <v>46</v>
      </c>
      <c r="AX46" s="9" t="s">
        <v>73</v>
      </c>
      <c r="AY46" s="24">
        <f>AY41/(AY45*1.8)</f>
        <v>0.48732943469785567</v>
      </c>
      <c r="AZ46" s="8">
        <f t="shared" ref="AZ46:BA46" si="9">AZ41/(AZ45*1.8)</f>
        <v>0.3669556442365029</v>
      </c>
      <c r="BA46" s="8">
        <f t="shared" si="9"/>
        <v>0.2473716759431045</v>
      </c>
      <c r="BB46" s="8">
        <f>BB41/(BB45*1.8)</f>
        <v>0.2279202279202279</v>
      </c>
      <c r="BC46" s="8">
        <f t="shared" ref="BC46:BE46" si="10">BC41/(BC45*1.8)</f>
        <v>0.17655367231638416</v>
      </c>
      <c r="BD46" s="8">
        <f t="shared" si="10"/>
        <v>0.14417531718569779</v>
      </c>
      <c r="BE46" s="8">
        <f t="shared" si="10"/>
        <v>0.12103606874848702</v>
      </c>
    </row>
    <row r="47" spans="6:57" ht="12" customHeight="1" x14ac:dyDescent="0.25">
      <c r="AT47" t="s">
        <v>150</v>
      </c>
      <c r="AV47" t="s">
        <v>30</v>
      </c>
      <c r="AX47">
        <v>425</v>
      </c>
    </row>
    <row r="48" spans="6:57" ht="12" customHeight="1" x14ac:dyDescent="0.25">
      <c r="AT48" t="s">
        <v>157</v>
      </c>
      <c r="AX48" t="s">
        <v>115</v>
      </c>
      <c r="AY48">
        <f t="shared" ref="AY48:BA48" si="11">425/AY36</f>
        <v>212.5</v>
      </c>
      <c r="AZ48" s="11">
        <f t="shared" si="11"/>
        <v>196.15384615384613</v>
      </c>
      <c r="BA48" s="11">
        <f t="shared" si="11"/>
        <v>182.14285714285717</v>
      </c>
      <c r="BB48">
        <f>425/BB36</f>
        <v>170</v>
      </c>
      <c r="BC48" s="8">
        <f>425/BC36</f>
        <v>159.375</v>
      </c>
      <c r="BD48">
        <f>425/BD36</f>
        <v>150</v>
      </c>
      <c r="BE48" s="8">
        <f>425/BE36</f>
        <v>141.66666666666666</v>
      </c>
    </row>
    <row r="49" spans="7:57" ht="12" customHeight="1" x14ac:dyDescent="0.25">
      <c r="AT49" s="5" t="s">
        <v>86</v>
      </c>
      <c r="AU49" s="11">
        <f>32000*AU43/(160*AU67)</f>
        <v>19.7362987838622</v>
      </c>
      <c r="AX49" t="s">
        <v>116</v>
      </c>
      <c r="AY49" s="15" t="s">
        <v>121</v>
      </c>
      <c r="AZ49">
        <v>0.08</v>
      </c>
      <c r="BA49">
        <v>0.1</v>
      </c>
      <c r="BB49">
        <v>0.11</v>
      </c>
      <c r="BC49">
        <v>0.12</v>
      </c>
      <c r="BD49">
        <v>0.14000000000000001</v>
      </c>
      <c r="BE49">
        <v>0.16</v>
      </c>
    </row>
    <row r="50" spans="7:57" ht="12" customHeight="1" x14ac:dyDescent="0.25">
      <c r="AT50" t="s">
        <v>165</v>
      </c>
      <c r="AX50" s="9" t="s">
        <v>73</v>
      </c>
      <c r="AZ50" s="8">
        <f>AZ41/(AZ49*1.8)</f>
        <v>1.972386587771203</v>
      </c>
      <c r="BA50" s="8">
        <f t="shared" ref="BA50:BE50" si="12">BA41/(BA49*1.8)</f>
        <v>1.3605442176870746</v>
      </c>
      <c r="BB50" s="8">
        <f t="shared" si="12"/>
        <v>1.0774410774410774</v>
      </c>
      <c r="BC50" s="24">
        <f t="shared" si="12"/>
        <v>0.86805555555555558</v>
      </c>
      <c r="BD50" s="8">
        <f t="shared" si="12"/>
        <v>0.65908716427747549</v>
      </c>
      <c r="BE50" s="8">
        <f t="shared" si="12"/>
        <v>0.51440329218106984</v>
      </c>
    </row>
    <row r="51" spans="7:57" ht="12" customHeight="1" x14ac:dyDescent="0.25">
      <c r="J51" t="s">
        <v>77</v>
      </c>
      <c r="AL51" t="s">
        <v>22</v>
      </c>
      <c r="AT51" t="s">
        <v>156</v>
      </c>
      <c r="AV51" s="5" t="s">
        <v>38</v>
      </c>
      <c r="AW51" t="s">
        <v>75</v>
      </c>
      <c r="AX51" t="s">
        <v>126</v>
      </c>
    </row>
    <row r="52" spans="7:57" ht="12" customHeight="1" x14ac:dyDescent="0.25">
      <c r="AX52" t="s">
        <v>122</v>
      </c>
      <c r="AY52">
        <v>12</v>
      </c>
      <c r="AZ52">
        <v>13</v>
      </c>
      <c r="BA52">
        <v>14</v>
      </c>
      <c r="BB52">
        <v>15</v>
      </c>
      <c r="BC52">
        <v>16</v>
      </c>
      <c r="BD52">
        <v>17</v>
      </c>
      <c r="BE52">
        <v>18</v>
      </c>
    </row>
    <row r="53" spans="7:57" ht="12" customHeight="1" x14ac:dyDescent="0.25">
      <c r="AV53" s="8">
        <f>3.14*17^3/32</f>
        <v>482.08812499999999</v>
      </c>
      <c r="AW53" s="1">
        <f>AV53/((3.14*16^2)/4)</f>
        <v>2.39892578125</v>
      </c>
      <c r="AX53" t="s">
        <v>124</v>
      </c>
      <c r="AY53">
        <f>3.14*AY52^3/32</f>
        <v>169.56</v>
      </c>
      <c r="AZ53" s="8">
        <f t="shared" ref="AZ53:BE53" si="13">3.14*AZ52^3/32</f>
        <v>215.580625</v>
      </c>
      <c r="BA53" s="8">
        <f t="shared" si="13"/>
        <v>269.255</v>
      </c>
      <c r="BB53" s="8">
        <f t="shared" si="13"/>
        <v>331.171875</v>
      </c>
      <c r="BC53" s="8">
        <f t="shared" si="13"/>
        <v>401.92</v>
      </c>
      <c r="BD53" s="8">
        <f t="shared" si="13"/>
        <v>482.08812499999999</v>
      </c>
      <c r="BE53" s="8">
        <f t="shared" si="13"/>
        <v>572.26499999999999</v>
      </c>
    </row>
    <row r="54" spans="7:57" ht="12" customHeight="1" x14ac:dyDescent="0.25">
      <c r="AT54" t="s">
        <v>151</v>
      </c>
      <c r="AX54" t="s">
        <v>125</v>
      </c>
      <c r="AY54">
        <f>AY53/(3.14*AY52^2/4)</f>
        <v>1.5</v>
      </c>
      <c r="AZ54">
        <f t="shared" ref="AZ54:BE54" si="14">AZ53/(3.14*AZ52^2/4)</f>
        <v>1.625</v>
      </c>
      <c r="BA54">
        <f t="shared" si="14"/>
        <v>1.7499999999999998</v>
      </c>
      <c r="BB54">
        <f t="shared" si="14"/>
        <v>1.875</v>
      </c>
      <c r="BC54">
        <f t="shared" si="14"/>
        <v>2</v>
      </c>
      <c r="BD54">
        <f t="shared" si="14"/>
        <v>2.125</v>
      </c>
      <c r="BE54">
        <f t="shared" si="14"/>
        <v>2.25</v>
      </c>
    </row>
    <row r="55" spans="7:57" ht="12" customHeight="1" x14ac:dyDescent="0.25">
      <c r="G55" s="3" t="s">
        <v>172</v>
      </c>
      <c r="AT55" t="s">
        <v>158</v>
      </c>
      <c r="AX55" t="s">
        <v>123</v>
      </c>
    </row>
    <row r="56" spans="7:57" ht="12" customHeight="1" x14ac:dyDescent="0.25">
      <c r="AT56" t="s">
        <v>168</v>
      </c>
      <c r="AV56" t="s">
        <v>32</v>
      </c>
      <c r="AX56" s="3">
        <v>335</v>
      </c>
    </row>
    <row r="57" spans="7:57" ht="12" customHeight="1" x14ac:dyDescent="0.25">
      <c r="AT57" s="11">
        <f>32000/(160*8.78)</f>
        <v>22.779043280182233</v>
      </c>
      <c r="AU57" t="s">
        <v>62</v>
      </c>
      <c r="AX57" t="s">
        <v>115</v>
      </c>
      <c r="AY57" s="11">
        <f t="shared" ref="AY57:BE57" si="15">$AX$56/AY54</f>
        <v>223.33333333333334</v>
      </c>
      <c r="AZ57" s="11">
        <f t="shared" si="15"/>
        <v>206.15384615384616</v>
      </c>
      <c r="BA57" s="11">
        <f t="shared" si="15"/>
        <v>191.42857142857144</v>
      </c>
      <c r="BB57" s="11">
        <f t="shared" si="15"/>
        <v>178.66666666666666</v>
      </c>
      <c r="BC57" s="11">
        <f t="shared" si="15"/>
        <v>167.5</v>
      </c>
      <c r="BD57" s="11">
        <f t="shared" si="15"/>
        <v>157.64705882352942</v>
      </c>
      <c r="BE57" s="11">
        <f t="shared" si="15"/>
        <v>148.88888888888889</v>
      </c>
    </row>
    <row r="58" spans="7:57" ht="12" customHeight="1" x14ac:dyDescent="0.25">
      <c r="AT58" t="s">
        <v>159</v>
      </c>
      <c r="AV58" t="s">
        <v>128</v>
      </c>
      <c r="AX58" t="s">
        <v>116</v>
      </c>
      <c r="AY58" s="5" t="s">
        <v>121</v>
      </c>
      <c r="AZ58" s="5" t="s">
        <v>121</v>
      </c>
      <c r="BA58">
        <v>0.09</v>
      </c>
      <c r="BB58">
        <v>0.1</v>
      </c>
      <c r="BC58">
        <v>0.11</v>
      </c>
      <c r="BD58">
        <v>0.12</v>
      </c>
      <c r="BE58">
        <v>0.14000000000000001</v>
      </c>
    </row>
    <row r="59" spans="7:57" ht="12" customHeight="1" x14ac:dyDescent="0.25">
      <c r="AT59" t="s">
        <v>160</v>
      </c>
      <c r="AV59" t="s">
        <v>127</v>
      </c>
      <c r="AX59" s="15" t="s">
        <v>117</v>
      </c>
      <c r="AY59" s="8">
        <f t="shared" ref="AY59:BE59" si="16">($BB$15/((3.14*AY52^2)/4))*1.5</f>
        <v>0.42462845010615713</v>
      </c>
      <c r="AZ59" s="8">
        <f t="shared" si="16"/>
        <v>0.36181359062299778</v>
      </c>
      <c r="BA59" s="8">
        <f t="shared" si="16"/>
        <v>0.31197192252697253</v>
      </c>
      <c r="BB59" s="8">
        <f t="shared" si="16"/>
        <v>0.27176220806794055</v>
      </c>
      <c r="BC59" s="8">
        <f t="shared" si="16"/>
        <v>0.23885350318471338</v>
      </c>
      <c r="BD59" s="8">
        <f t="shared" si="16"/>
        <v>0.21157957375531705</v>
      </c>
      <c r="BE59" s="8">
        <f t="shared" si="16"/>
        <v>0.18872375560273652</v>
      </c>
    </row>
    <row r="60" spans="7:57" ht="12" customHeight="1" x14ac:dyDescent="0.25">
      <c r="AT60" t="s">
        <v>120</v>
      </c>
      <c r="AX60" s="9" t="s">
        <v>73</v>
      </c>
      <c r="BA60" s="8">
        <f>BA59/(BA58*1.8)</f>
        <v>1.9257526081911884</v>
      </c>
      <c r="BB60" s="8">
        <f t="shared" ref="BB60:BE60" si="17">BB59/(BB58*1.8)</f>
        <v>1.5097900448218917</v>
      </c>
      <c r="BC60" s="8">
        <f t="shared" si="17"/>
        <v>1.2063308241652191</v>
      </c>
      <c r="BD60" s="25">
        <f t="shared" si="17"/>
        <v>0.97953506368202337</v>
      </c>
      <c r="BE60" s="8">
        <f t="shared" si="17"/>
        <v>0.74890379207435109</v>
      </c>
    </row>
    <row r="61" spans="7:57" ht="12" customHeight="1" x14ac:dyDescent="0.25">
      <c r="AT61" t="s">
        <v>164</v>
      </c>
      <c r="AU61">
        <v>18</v>
      </c>
      <c r="AX61">
        <v>173</v>
      </c>
    </row>
    <row r="62" spans="7:57" ht="12" customHeight="1" x14ac:dyDescent="0.25">
      <c r="AT62" t="s">
        <v>161</v>
      </c>
      <c r="AU62">
        <v>2.2000000000000002</v>
      </c>
      <c r="AX62" t="s">
        <v>115</v>
      </c>
      <c r="AY62" s="11">
        <f t="shared" ref="AY62:BE62" si="18">$AX$61/AY54</f>
        <v>115.33333333333333</v>
      </c>
      <c r="AZ62" s="11">
        <f t="shared" si="18"/>
        <v>106.46153846153847</v>
      </c>
      <c r="BA62" s="11">
        <f t="shared" si="18"/>
        <v>98.857142857142875</v>
      </c>
      <c r="BB62" s="11">
        <f t="shared" si="18"/>
        <v>92.266666666666666</v>
      </c>
      <c r="BC62" s="11">
        <f t="shared" si="18"/>
        <v>86.5</v>
      </c>
      <c r="BD62" s="11">
        <f t="shared" si="18"/>
        <v>81.411764705882348</v>
      </c>
      <c r="BE62" s="11">
        <f t="shared" si="18"/>
        <v>76.888888888888886</v>
      </c>
    </row>
    <row r="63" spans="7:57" ht="12" customHeight="1" x14ac:dyDescent="0.25">
      <c r="AT63" t="s">
        <v>165</v>
      </c>
      <c r="AW63" s="10"/>
      <c r="AX63" t="s">
        <v>116</v>
      </c>
      <c r="AY63">
        <v>0.21</v>
      </c>
      <c r="AZ63">
        <v>0.27</v>
      </c>
      <c r="BA63" s="21">
        <v>0.28999999999999998</v>
      </c>
      <c r="BB63">
        <v>0.34</v>
      </c>
      <c r="BC63">
        <v>0.65</v>
      </c>
    </row>
    <row r="64" spans="7:57" ht="12" customHeight="1" x14ac:dyDescent="0.25">
      <c r="AT64" t="s">
        <v>163</v>
      </c>
      <c r="AU64" s="8">
        <f>SIN((3/4*30*6.28/360))^2</f>
        <v>0.14630586541640014</v>
      </c>
      <c r="AX64" s="5" t="s">
        <v>130</v>
      </c>
      <c r="AY64" s="8">
        <f t="shared" ref="AY64:BE64" si="19">($BB$17/(3.14*AY52^2/4))*1.5</f>
        <v>0.18312101910828027</v>
      </c>
      <c r="AZ64" s="8">
        <f t="shared" si="19"/>
        <v>0.15603211095616781</v>
      </c>
      <c r="BA64" s="8">
        <f t="shared" si="19"/>
        <v>0.13453789158975693</v>
      </c>
      <c r="BB64" s="8">
        <f t="shared" si="19"/>
        <v>0.11719745222929938</v>
      </c>
      <c r="BC64" s="8">
        <f t="shared" si="19"/>
        <v>0.10300557324840764</v>
      </c>
      <c r="BD64" s="8">
        <f t="shared" si="19"/>
        <v>9.1243691181980474E-2</v>
      </c>
      <c r="BE64" s="8">
        <f t="shared" si="19"/>
        <v>8.1387119603680114E-2</v>
      </c>
    </row>
    <row r="65" spans="38:57" ht="12" customHeight="1" x14ac:dyDescent="0.25">
      <c r="AT65" t="s">
        <v>162</v>
      </c>
      <c r="AU65" s="8">
        <f>COS((3/4*30*6.28/360))^2</f>
        <v>0.85369413458359977</v>
      </c>
      <c r="AX65" s="9" t="s">
        <v>73</v>
      </c>
      <c r="AY65" s="25">
        <f>AY64/(AY63*1.8)</f>
        <v>0.48444714049809595</v>
      </c>
      <c r="AZ65" s="26">
        <f t="shared" ref="AZ65:BC65" si="20">AZ64/(AZ63*1.8)</f>
        <v>0.32105372624725886</v>
      </c>
      <c r="BA65" s="26">
        <f t="shared" si="20"/>
        <v>0.25773542450145004</v>
      </c>
      <c r="BB65" s="26">
        <f t="shared" si="20"/>
        <v>0.19149910494983555</v>
      </c>
      <c r="BC65" s="26">
        <f t="shared" si="20"/>
        <v>8.8038951494365497E-2</v>
      </c>
      <c r="BD65" s="25"/>
    </row>
    <row r="66" spans="38:57" ht="12" customHeight="1" x14ac:dyDescent="0.25">
      <c r="AT66" t="s">
        <v>145</v>
      </c>
      <c r="AX66">
        <v>425</v>
      </c>
    </row>
    <row r="67" spans="38:57" ht="12" customHeight="1" x14ac:dyDescent="0.25">
      <c r="AT67" s="5" t="s">
        <v>166</v>
      </c>
      <c r="AU67" s="28">
        <f>AU61/((AU61/AU62)*AU64+AU65)</f>
        <v>8.7773103142692115</v>
      </c>
      <c r="AX67" t="s">
        <v>115</v>
      </c>
      <c r="AY67" s="11">
        <f t="shared" ref="AY67:BE67" si="21">$AX$66/AY54</f>
        <v>283.33333333333331</v>
      </c>
      <c r="AZ67" s="11">
        <f t="shared" si="21"/>
        <v>261.53846153846155</v>
      </c>
      <c r="BA67" s="11">
        <f t="shared" si="21"/>
        <v>242.85714285714289</v>
      </c>
      <c r="BB67" s="11">
        <f t="shared" si="21"/>
        <v>226.66666666666666</v>
      </c>
      <c r="BC67" s="11">
        <f t="shared" si="21"/>
        <v>212.5</v>
      </c>
      <c r="BD67" s="11">
        <f t="shared" si="21"/>
        <v>200</v>
      </c>
      <c r="BE67" s="11">
        <f t="shared" si="21"/>
        <v>188.88888888888889</v>
      </c>
    </row>
    <row r="68" spans="38:57" ht="12" customHeight="1" x14ac:dyDescent="0.25">
      <c r="AU68" t="s">
        <v>120</v>
      </c>
      <c r="AV68" s="7" t="s">
        <v>74</v>
      </c>
      <c r="AW68" s="9"/>
      <c r="AX68" t="s">
        <v>116</v>
      </c>
      <c r="AY68" s="15" t="s">
        <v>121</v>
      </c>
      <c r="AZ68" s="15" t="s">
        <v>121</v>
      </c>
      <c r="BA68" s="15" t="s">
        <v>121</v>
      </c>
      <c r="BB68" s="15" t="s">
        <v>121</v>
      </c>
      <c r="BC68" s="15" t="s">
        <v>121</v>
      </c>
      <c r="BD68">
        <v>0.08</v>
      </c>
      <c r="BE68">
        <v>0.09</v>
      </c>
    </row>
    <row r="69" spans="38:57" ht="12" customHeight="1" x14ac:dyDescent="0.25">
      <c r="AL69" t="s">
        <v>23</v>
      </c>
      <c r="AV69" t="s">
        <v>76</v>
      </c>
      <c r="AX69" s="15" t="s">
        <v>129</v>
      </c>
      <c r="BD69" s="8">
        <f>BB21/(3.14*BD52^2/4)*1.5</f>
        <v>0.15207281863663411</v>
      </c>
      <c r="BE69" s="8">
        <f>BB21/(3.14*BE52^2/4)*1.5</f>
        <v>0.13564519933946684</v>
      </c>
    </row>
    <row r="70" spans="38:57" ht="12" customHeight="1" x14ac:dyDescent="0.25">
      <c r="AX70" s="9" t="s">
        <v>73</v>
      </c>
      <c r="BD70" s="26">
        <f>BD69/(BD68*1.8)</f>
        <v>1.0560612405321812</v>
      </c>
      <c r="BE70" s="25">
        <f>BE69/(BE68*1.8)</f>
        <v>0.83731604530535086</v>
      </c>
    </row>
    <row r="71" spans="38:57" ht="12" customHeight="1" x14ac:dyDescent="0.25"/>
    <row r="72" spans="38:57" ht="12" customHeight="1" x14ac:dyDescent="0.25">
      <c r="AV72" s="5" t="s">
        <v>131</v>
      </c>
      <c r="AX72" t="s">
        <v>39</v>
      </c>
      <c r="AZ72" t="s">
        <v>38</v>
      </c>
    </row>
    <row r="73" spans="38:57" ht="12" customHeight="1" x14ac:dyDescent="0.25">
      <c r="AM73" t="s">
        <v>13</v>
      </c>
      <c r="AW73" t="s">
        <v>133</v>
      </c>
      <c r="AX73" t="s">
        <v>85</v>
      </c>
      <c r="AY73">
        <v>12</v>
      </c>
      <c r="AZ73" t="s">
        <v>137</v>
      </c>
      <c r="BA73" t="s">
        <v>33</v>
      </c>
    </row>
    <row r="74" spans="38:57" ht="12" customHeight="1" x14ac:dyDescent="0.25">
      <c r="AW74" t="s">
        <v>134</v>
      </c>
      <c r="AX74" s="5" t="s">
        <v>132</v>
      </c>
      <c r="AY74">
        <v>518</v>
      </c>
      <c r="BA74" t="s">
        <v>33</v>
      </c>
    </row>
    <row r="75" spans="38:57" ht="12" customHeight="1" x14ac:dyDescent="0.25">
      <c r="AW75" t="s">
        <v>135</v>
      </c>
      <c r="AX75" s="15" t="s">
        <v>129</v>
      </c>
      <c r="AY75" s="1">
        <f>28000/120^2</f>
        <v>1.9444444444444444</v>
      </c>
      <c r="AZ75" s="1">
        <f>28000/(3.14*120^2/4)</f>
        <v>2.4769992922859165</v>
      </c>
      <c r="BA75" t="s">
        <v>120</v>
      </c>
    </row>
    <row r="76" spans="38:57" ht="12" customHeight="1" x14ac:dyDescent="0.25">
      <c r="AW76" t="s">
        <v>136</v>
      </c>
    </row>
    <row r="77" spans="38:57" ht="12" customHeight="1" x14ac:dyDescent="0.25"/>
    <row r="78" spans="38:57" ht="12" customHeight="1" x14ac:dyDescent="0.25">
      <c r="AV78" s="5" t="s">
        <v>69</v>
      </c>
      <c r="AY78" s="15" t="s">
        <v>72</v>
      </c>
      <c r="AZ78">
        <v>1.1000000000000001</v>
      </c>
      <c r="BA78" t="s">
        <v>58</v>
      </c>
      <c r="BB78" t="s">
        <v>71</v>
      </c>
    </row>
    <row r="79" spans="38:57" ht="12" customHeight="1" x14ac:dyDescent="0.25">
      <c r="AX79" t="s">
        <v>57</v>
      </c>
      <c r="BA79" t="s">
        <v>59</v>
      </c>
      <c r="BB79">
        <v>11</v>
      </c>
      <c r="BC79" t="s">
        <v>58</v>
      </c>
      <c r="BD79" t="s">
        <v>63</v>
      </c>
    </row>
    <row r="80" spans="38:57" ht="12" customHeight="1" x14ac:dyDescent="0.25">
      <c r="BA80" t="s">
        <v>54</v>
      </c>
      <c r="BB80" s="11">
        <f>16^3/6</f>
        <v>682.66666666666663</v>
      </c>
      <c r="BC80" t="s">
        <v>55</v>
      </c>
      <c r="BE80" t="s">
        <v>65</v>
      </c>
    </row>
    <row r="81" spans="38:57" ht="12" customHeight="1" x14ac:dyDescent="0.25">
      <c r="AL81" t="s">
        <v>24</v>
      </c>
      <c r="AX81" s="7" t="s">
        <v>50</v>
      </c>
      <c r="BA81" t="s">
        <v>60</v>
      </c>
      <c r="BB81" s="11">
        <f>BB80*8</f>
        <v>5461.333333333333</v>
      </c>
      <c r="BC81" t="s">
        <v>56</v>
      </c>
      <c r="BD81" t="s">
        <v>64</v>
      </c>
    </row>
    <row r="82" spans="38:57" ht="12" customHeight="1" x14ac:dyDescent="0.25">
      <c r="AX82" s="7" t="s">
        <v>51</v>
      </c>
    </row>
    <row r="83" spans="38:57" ht="12" customHeight="1" x14ac:dyDescent="0.25">
      <c r="AX83" s="7" t="s">
        <v>52</v>
      </c>
      <c r="AZ83" t="s">
        <v>61</v>
      </c>
      <c r="BB83" s="12">
        <f>(5*1*6^4)/(384*11*10^6*5184*10^(-8))</f>
        <v>2.9592803030303028E-2</v>
      </c>
      <c r="BC83" t="s">
        <v>62</v>
      </c>
    </row>
    <row r="84" spans="38:57" ht="12" customHeight="1" x14ac:dyDescent="0.25">
      <c r="AX84" s="7" t="s">
        <v>53</v>
      </c>
      <c r="BA84" s="7" t="s">
        <v>66</v>
      </c>
      <c r="BB84" s="12">
        <f>(5*1*6^4)/(384*11*10^6*5184*10^(-8))*3</f>
        <v>8.8778409090909088E-2</v>
      </c>
      <c r="BC84" t="s">
        <v>62</v>
      </c>
    </row>
    <row r="85" spans="38:57" ht="12" customHeight="1" x14ac:dyDescent="0.25">
      <c r="AX85">
        <f>COS(30*6.28/360)</f>
        <v>0.86615809440546299</v>
      </c>
      <c r="BB85" t="s">
        <v>67</v>
      </c>
      <c r="BD85" t="s">
        <v>68</v>
      </c>
    </row>
    <row r="86" spans="38:57" ht="12" customHeight="1" x14ac:dyDescent="0.25"/>
    <row r="87" spans="38:57" ht="12" customHeight="1" x14ac:dyDescent="0.25">
      <c r="AV87" s="5" t="s">
        <v>140</v>
      </c>
      <c r="AY87" t="s">
        <v>143</v>
      </c>
      <c r="AZ87" t="s">
        <v>141</v>
      </c>
      <c r="BC87" t="s">
        <v>144</v>
      </c>
      <c r="BD87" t="s">
        <v>142</v>
      </c>
    </row>
    <row r="88" spans="38:57" ht="12" customHeight="1" x14ac:dyDescent="0.25">
      <c r="AW88" s="20" t="s">
        <v>139</v>
      </c>
      <c r="AX88">
        <v>1</v>
      </c>
      <c r="AY88">
        <v>16</v>
      </c>
      <c r="AZ88">
        <v>18</v>
      </c>
      <c r="BA88" s="20" t="s">
        <v>138</v>
      </c>
      <c r="BB88">
        <v>4</v>
      </c>
      <c r="BC88">
        <v>12</v>
      </c>
      <c r="BD88">
        <v>12</v>
      </c>
    </row>
    <row r="89" spans="38:57" ht="12" customHeight="1" x14ac:dyDescent="0.25">
      <c r="AX89">
        <v>2</v>
      </c>
      <c r="AY89">
        <v>16</v>
      </c>
      <c r="AZ89">
        <v>18</v>
      </c>
      <c r="BB89">
        <v>5</v>
      </c>
      <c r="BC89">
        <v>12</v>
      </c>
      <c r="BD89">
        <v>12</v>
      </c>
    </row>
    <row r="90" spans="38:57" ht="12" customHeight="1" x14ac:dyDescent="0.25">
      <c r="AX90">
        <v>3</v>
      </c>
      <c r="AY90">
        <v>12</v>
      </c>
      <c r="AZ90">
        <v>12</v>
      </c>
      <c r="BB90">
        <v>6</v>
      </c>
      <c r="BC90">
        <v>12</v>
      </c>
      <c r="BD90">
        <v>12</v>
      </c>
    </row>
    <row r="91" spans="38:57" ht="12" customHeight="1" x14ac:dyDescent="0.25">
      <c r="AX91">
        <v>7</v>
      </c>
      <c r="AY91">
        <v>16</v>
      </c>
      <c r="AZ91">
        <v>18</v>
      </c>
    </row>
    <row r="92" spans="38:57" ht="12" customHeight="1" x14ac:dyDescent="0.25">
      <c r="AW92" t="s">
        <v>173</v>
      </c>
      <c r="AZ92" t="s">
        <v>175</v>
      </c>
      <c r="BC92" t="s">
        <v>38</v>
      </c>
    </row>
    <row r="93" spans="38:57" ht="12" customHeight="1" x14ac:dyDescent="0.25">
      <c r="BC93" t="s">
        <v>177</v>
      </c>
      <c r="BE93" t="s">
        <v>178</v>
      </c>
    </row>
    <row r="94" spans="38:57" ht="12" customHeight="1" x14ac:dyDescent="0.25">
      <c r="AW94" t="s">
        <v>20</v>
      </c>
      <c r="AX94" t="s">
        <v>102</v>
      </c>
    </row>
    <row r="95" spans="38:57" ht="12" customHeight="1" x14ac:dyDescent="0.25">
      <c r="AW95">
        <v>1</v>
      </c>
      <c r="AX95">
        <v>335</v>
      </c>
      <c r="AY95">
        <f>16^2</f>
        <v>256</v>
      </c>
      <c r="AZ95">
        <f>AX95*AY95*10^(-6)</f>
        <v>8.5760000000000003E-2</v>
      </c>
      <c r="BC95">
        <f>(3.14*18^2)/4</f>
        <v>254.34</v>
      </c>
      <c r="BD95">
        <f>AX95*BC95*10^(-6)</f>
        <v>8.5203899999999985E-2</v>
      </c>
    </row>
    <row r="96" spans="38:57" ht="12" customHeight="1" x14ac:dyDescent="0.25">
      <c r="AW96">
        <v>2</v>
      </c>
      <c r="AX96">
        <v>335</v>
      </c>
      <c r="AY96">
        <f>16^2</f>
        <v>256</v>
      </c>
      <c r="AZ96">
        <f t="shared" ref="AZ96:AZ103" si="22">AX96*AY96*10^(-6)</f>
        <v>8.5760000000000003E-2</v>
      </c>
      <c r="BC96">
        <f t="shared" ref="BC96:BD103" si="23">(3.14*18^2)/4</f>
        <v>254.34</v>
      </c>
      <c r="BD96">
        <f t="shared" ref="BD96:BD103" si="24">AX96*BC96*10^(-6)</f>
        <v>8.5203899999999985E-2</v>
      </c>
    </row>
    <row r="97" spans="49:58" ht="12" customHeight="1" x14ac:dyDescent="0.25">
      <c r="AW97">
        <v>3</v>
      </c>
      <c r="AX97">
        <v>173</v>
      </c>
      <c r="AY97">
        <f>12^2</f>
        <v>144</v>
      </c>
      <c r="AZ97">
        <f t="shared" si="22"/>
        <v>2.4912E-2</v>
      </c>
      <c r="BC97">
        <f>(3.14*12^2)/4</f>
        <v>113.04</v>
      </c>
      <c r="BD97">
        <f t="shared" si="24"/>
        <v>1.9555920000000001E-2</v>
      </c>
    </row>
    <row r="98" spans="49:58" ht="12" customHeight="1" x14ac:dyDescent="0.25">
      <c r="AW98">
        <v>4</v>
      </c>
      <c r="AX98">
        <v>382</v>
      </c>
      <c r="BA98">
        <f>12^2</f>
        <v>144</v>
      </c>
      <c r="BB98">
        <f>AX98*BA98*10^(-6)</f>
        <v>5.5007999999999994E-2</v>
      </c>
      <c r="BE98">
        <f>(3.14*12^2)/4</f>
        <v>113.04</v>
      </c>
      <c r="BF98">
        <f>BE98*AX98*10^(-6)</f>
        <v>4.3181279999999996E-2</v>
      </c>
    </row>
    <row r="99" spans="49:58" ht="12" customHeight="1" x14ac:dyDescent="0.25">
      <c r="AW99">
        <v>5</v>
      </c>
      <c r="AX99">
        <v>382</v>
      </c>
      <c r="BA99">
        <f t="shared" ref="BA99:BA100" si="25">12^2</f>
        <v>144</v>
      </c>
      <c r="BB99">
        <f t="shared" ref="BB99:BB100" si="26">AX99*BA99*10^(-6)</f>
        <v>5.5007999999999994E-2</v>
      </c>
      <c r="BE99">
        <f t="shared" ref="BE99:BE100" si="27">(3.14*12^2)/4</f>
        <v>113.04</v>
      </c>
      <c r="BF99">
        <f t="shared" ref="BF99:BF100" si="28">BE99*AX99*10^(-6)</f>
        <v>4.3181279999999996E-2</v>
      </c>
    </row>
    <row r="100" spans="49:58" ht="12" customHeight="1" x14ac:dyDescent="0.25">
      <c r="AW100">
        <v>6</v>
      </c>
      <c r="AX100">
        <v>518</v>
      </c>
      <c r="BA100">
        <f t="shared" si="25"/>
        <v>144</v>
      </c>
      <c r="BB100">
        <f t="shared" si="26"/>
        <v>7.4591999999999992E-2</v>
      </c>
      <c r="BE100">
        <f t="shared" si="27"/>
        <v>113.04</v>
      </c>
      <c r="BF100">
        <f t="shared" si="28"/>
        <v>5.8554719999999998E-2</v>
      </c>
    </row>
    <row r="101" spans="49:58" ht="12" customHeight="1" x14ac:dyDescent="0.25">
      <c r="AW101">
        <v>7</v>
      </c>
      <c r="AX101">
        <v>425</v>
      </c>
      <c r="AY101">
        <f>16^2</f>
        <v>256</v>
      </c>
      <c r="AZ101">
        <f t="shared" si="22"/>
        <v>0.10879999999999999</v>
      </c>
      <c r="BC101">
        <f t="shared" si="23"/>
        <v>254.34</v>
      </c>
      <c r="BD101">
        <f t="shared" si="24"/>
        <v>0.1080945</v>
      </c>
    </row>
    <row r="102" spans="49:58" ht="12" customHeight="1" x14ac:dyDescent="0.25">
      <c r="AW102" t="s">
        <v>176</v>
      </c>
      <c r="AX102">
        <v>250</v>
      </c>
      <c r="AY102">
        <f t="shared" ref="AY102:AY103" si="29">16^2</f>
        <v>256</v>
      </c>
      <c r="AZ102">
        <f t="shared" si="22"/>
        <v>6.4000000000000001E-2</v>
      </c>
      <c r="BC102">
        <f t="shared" si="23"/>
        <v>254.34</v>
      </c>
      <c r="BD102">
        <f t="shared" si="24"/>
        <v>6.3585000000000003E-2</v>
      </c>
    </row>
    <row r="103" spans="49:58" ht="12" customHeight="1" x14ac:dyDescent="0.25">
      <c r="AX103">
        <v>250</v>
      </c>
      <c r="AY103">
        <f t="shared" si="29"/>
        <v>256</v>
      </c>
      <c r="AZ103">
        <f t="shared" si="22"/>
        <v>6.4000000000000001E-2</v>
      </c>
      <c r="BC103">
        <f t="shared" si="23"/>
        <v>254.34</v>
      </c>
      <c r="BD103">
        <f t="shared" si="24"/>
        <v>6.3585000000000003E-2</v>
      </c>
    </row>
    <row r="104" spans="49:58" ht="12" customHeight="1" x14ac:dyDescent="0.25">
      <c r="AW104" t="s">
        <v>180</v>
      </c>
      <c r="AX104" t="s">
        <v>179</v>
      </c>
      <c r="AZ104" s="5">
        <f>SUM(AZ95:AZ102)</f>
        <v>0.369232</v>
      </c>
      <c r="BA104" s="5"/>
      <c r="BB104" s="5">
        <f t="shared" ref="BA104:BF104" si="30">SUM(BB95:BB102)</f>
        <v>0.18460799999999999</v>
      </c>
      <c r="BD104" s="5">
        <f t="shared" si="30"/>
        <v>0.36164321999999999</v>
      </c>
      <c r="BE104" s="5"/>
      <c r="BF104" s="5">
        <f t="shared" si="30"/>
        <v>0.14491727999999998</v>
      </c>
    </row>
    <row r="105" spans="49:58" ht="12" customHeight="1" x14ac:dyDescent="0.25">
      <c r="AX105" t="s">
        <v>182</v>
      </c>
      <c r="AZ105">
        <f>5*AZ104</f>
        <v>1.84616</v>
      </c>
      <c r="BB105">
        <f>5*BB104</f>
        <v>0.92303999999999997</v>
      </c>
      <c r="BD105">
        <f>5*BD104</f>
        <v>1.8082160999999999</v>
      </c>
      <c r="BF105">
        <f>5*BF104</f>
        <v>0.72458639999999996</v>
      </c>
    </row>
    <row r="106" spans="49:58" ht="12" customHeight="1" x14ac:dyDescent="0.25"/>
    <row r="107" spans="49:58" ht="12" customHeight="1" x14ac:dyDescent="0.25">
      <c r="AW107" t="s">
        <v>181</v>
      </c>
      <c r="AY107" s="8">
        <f>SUM(AZ105:BB105)</f>
        <v>2.7692000000000001</v>
      </c>
      <c r="AZ107" s="8" t="s">
        <v>179</v>
      </c>
      <c r="BA107" s="8"/>
      <c r="BB107" s="8"/>
      <c r="BC107" s="8">
        <f>SUM(BD105:BF105)</f>
        <v>2.5328024999999998</v>
      </c>
      <c r="BD107" t="s">
        <v>179</v>
      </c>
    </row>
    <row r="108" spans="49:58" ht="12" customHeight="1" x14ac:dyDescent="0.25"/>
    <row r="109" spans="49:58" ht="12" customHeight="1" x14ac:dyDescent="0.25"/>
    <row r="110" spans="49:58" ht="12" customHeight="1" x14ac:dyDescent="0.25"/>
    <row r="111" spans="49:58" ht="12" customHeight="1" x14ac:dyDescent="0.25"/>
    <row r="112" spans="49:58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</sheetData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2020-10-07T21:59:40Z</dcterms:created>
  <dcterms:modified xsi:type="dcterms:W3CDTF">2021-11-29T18:02:20Z</dcterms:modified>
</cp:coreProperties>
</file>