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515" windowHeight="597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Hoja1!$A$1:$H$40</definedName>
  </definedNames>
  <calcPr calcId="145621"/>
</workbook>
</file>

<file path=xl/calcChain.xml><?xml version="1.0" encoding="utf-8"?>
<calcChain xmlns="http://schemas.openxmlformats.org/spreadsheetml/2006/main">
  <c r="Q38" i="1" l="1"/>
  <c r="P38" i="1"/>
  <c r="Q37" i="1"/>
  <c r="P37" i="1"/>
  <c r="Q36" i="1"/>
  <c r="P36" i="1"/>
  <c r="M39" i="1"/>
  <c r="O29" i="1"/>
  <c r="P30" i="1"/>
  <c r="P31" i="1"/>
  <c r="P29" i="1"/>
  <c r="O31" i="1"/>
  <c r="O30" i="1"/>
  <c r="N30" i="1"/>
  <c r="N31" i="1"/>
  <c r="N29" i="1"/>
  <c r="P21" i="1"/>
  <c r="O21" i="1"/>
  <c r="P22" i="1"/>
  <c r="O22" i="1"/>
  <c r="P20" i="1"/>
  <c r="O20" i="1"/>
  <c r="P14" i="1" l="1"/>
  <c r="M13" i="1"/>
  <c r="K8" i="1"/>
  <c r="K7" i="1"/>
  <c r="L9" i="1"/>
  <c r="K6" i="1"/>
  <c r="K5" i="1"/>
  <c r="L6" i="1" l="1"/>
  <c r="N10" i="1" s="1"/>
  <c r="P15" i="1" s="1"/>
  <c r="K60" i="1"/>
  <c r="L60" i="1"/>
  <c r="M60" i="1"/>
  <c r="N60" i="1"/>
  <c r="O60" i="1"/>
  <c r="P60" i="1"/>
  <c r="J60" i="1"/>
  <c r="N70" i="1"/>
  <c r="N69" i="1"/>
  <c r="N68" i="1"/>
  <c r="N67" i="1"/>
  <c r="N66" i="1"/>
  <c r="N65" i="1"/>
  <c r="N64" i="1"/>
  <c r="E27" i="1" l="1"/>
  <c r="E25" i="1"/>
  <c r="G24" i="1"/>
  <c r="G34" i="1" s="1"/>
  <c r="C38" i="1" s="1"/>
  <c r="F38" i="1" s="1"/>
  <c r="G32" i="1" l="1"/>
  <c r="G35" i="1"/>
  <c r="G27" i="1"/>
  <c r="G25" i="1"/>
  <c r="G30" i="1"/>
  <c r="G36" i="1" l="1"/>
</calcChain>
</file>

<file path=xl/sharedStrings.xml><?xml version="1.0" encoding="utf-8"?>
<sst xmlns="http://schemas.openxmlformats.org/spreadsheetml/2006/main" count="175" uniqueCount="149">
  <si>
    <t>Fas=π*d^2/4(1*0,5)</t>
  </si>
  <si>
    <t>Area sombreada del tomate</t>
  </si>
  <si>
    <t xml:space="preserve">kc ini </t>
  </si>
  <si>
    <t>Kc medio</t>
  </si>
  <si>
    <t>kc final</t>
  </si>
  <si>
    <t>Valor de ka</t>
  </si>
  <si>
    <t>Diámetro   =</t>
  </si>
  <si>
    <t xml:space="preserve">       Fas         =</t>
  </si>
  <si>
    <t>0,75*Fas+0,15</t>
  </si>
  <si>
    <t>1,34*Fas</t>
  </si>
  <si>
    <t>0,5Fas+0,5</t>
  </si>
  <si>
    <t>Fas+0,1</t>
  </si>
  <si>
    <t xml:space="preserve">                Ka=</t>
  </si>
  <si>
    <t xml:space="preserve">                kb=</t>
  </si>
  <si>
    <t xml:space="preserve">                kc=</t>
  </si>
  <si>
    <t>ka*kb*kc</t>
  </si>
  <si>
    <t>ls/m2</t>
  </si>
  <si>
    <t>a=98,12 m</t>
  </si>
  <si>
    <t>NN´r=NNr/1-0,067</t>
  </si>
  <si>
    <t>Terreno franco arenoso</t>
  </si>
  <si>
    <t>Etc*ka*kb*kc</t>
  </si>
  <si>
    <t>Salinidad</t>
  </si>
  <si>
    <t>Eficacia</t>
  </si>
  <si>
    <t>Uniformidad</t>
  </si>
  <si>
    <t>Abril</t>
  </si>
  <si>
    <t>Mayo</t>
  </si>
  <si>
    <t>Junio</t>
  </si>
  <si>
    <t>Julio</t>
  </si>
  <si>
    <t>Agosto</t>
  </si>
  <si>
    <t>Septiembre</t>
  </si>
  <si>
    <t xml:space="preserve">Se adopta </t>
  </si>
  <si>
    <t>ls/planta y día</t>
  </si>
  <si>
    <t>Tabla 1</t>
  </si>
  <si>
    <t>Fas Area sombreada</t>
  </si>
  <si>
    <t>Etr= NNr</t>
  </si>
  <si>
    <t>ce= 0,268 dS/m</t>
  </si>
  <si>
    <t xml:space="preserve">conductividad </t>
  </si>
  <si>
    <t>Fl=ce/2*csubstrato</t>
  </si>
  <si>
    <t>Fl=0,268/2*2</t>
  </si>
  <si>
    <t>Efic+Unif</t>
  </si>
  <si>
    <t>Necesidades de agua en riego localizado, caso del tomate</t>
  </si>
  <si>
    <t>Profundidad raiz 80cm.</t>
  </si>
  <si>
    <t>Manual 56 de FAO</t>
  </si>
  <si>
    <t>Caso del olivo</t>
  </si>
  <si>
    <t>Kc inicial</t>
  </si>
  <si>
    <t>Marzo</t>
  </si>
  <si>
    <t>20-90-60-20</t>
  </si>
  <si>
    <t>Kc</t>
  </si>
  <si>
    <t>0,55-0,65-0,65</t>
  </si>
  <si>
    <t>40-60% cobertura</t>
  </si>
  <si>
    <t>mm/día</t>
  </si>
  <si>
    <t>Tabla 3</t>
  </si>
  <si>
    <t>ET0  mm/día</t>
  </si>
  <si>
    <t>P Precipitación</t>
  </si>
  <si>
    <t xml:space="preserve">  mm/día</t>
  </si>
  <si>
    <t>mmm/mes</t>
  </si>
  <si>
    <t>ET0</t>
  </si>
  <si>
    <t>kc</t>
  </si>
  <si>
    <t>ETC</t>
  </si>
  <si>
    <t>Etc máximmo ( Agosto)</t>
  </si>
  <si>
    <t>20 días</t>
  </si>
  <si>
    <t>FAS</t>
  </si>
  <si>
    <t>m2</t>
  </si>
  <si>
    <t>Ka</t>
  </si>
  <si>
    <t>1,34 FAS</t>
  </si>
  <si>
    <t>0,1 +FAS</t>
  </si>
  <si>
    <t>Kb</t>
  </si>
  <si>
    <t>FAS +0,15(1-FAS)</t>
  </si>
  <si>
    <t>FAS+0,5*(1-FAS)</t>
  </si>
  <si>
    <t>Etreal=</t>
  </si>
  <si>
    <t>ls/m2 y día</t>
  </si>
  <si>
    <t>Ka*Kb*kc*Etc</t>
  </si>
  <si>
    <t>Variabilidad</t>
  </si>
  <si>
    <t>Advección</t>
  </si>
  <si>
    <t>Manual 56    FAO</t>
  </si>
  <si>
    <t>Etapas</t>
  </si>
  <si>
    <t>2. parametrización de agua en el suelo</t>
  </si>
  <si>
    <t>Fctor de lavado</t>
  </si>
  <si>
    <t>Cea</t>
  </si>
  <si>
    <t>Conductividad eléctrica del suelo en la pasta saturada</t>
  </si>
  <si>
    <t>Conductividad del agua</t>
  </si>
  <si>
    <t>dS/m</t>
  </si>
  <si>
    <t>Eficiencia</t>
  </si>
  <si>
    <t>Ef</t>
  </si>
  <si>
    <t>Emisores tipoa A &lt;5%</t>
  </si>
  <si>
    <t>EU</t>
  </si>
  <si>
    <t>NN´r=1NNr/(1-FL)    =</t>
  </si>
  <si>
    <r>
      <t>NN´r=1NNr/Ef*E</t>
    </r>
    <r>
      <rPr>
        <sz val="9"/>
        <color theme="1"/>
        <rFont val="Calibri"/>
        <family val="2"/>
        <scheme val="minor"/>
      </rPr>
      <t>U     =</t>
    </r>
  </si>
  <si>
    <t>Se adopta el mayor</t>
  </si>
  <si>
    <t>3. Cálculos agronómicos de riego</t>
  </si>
  <si>
    <t>MOOC riego por goteo.6</t>
  </si>
  <si>
    <t>q    Ls/h</t>
  </si>
  <si>
    <t>Dm   (m)</t>
  </si>
  <si>
    <t>Sm     (m2)</t>
  </si>
  <si>
    <t xml:space="preserve">  ver tabla </t>
  </si>
  <si>
    <t>Se adopta 40%   ( tener en cuenta área sombreda)</t>
  </si>
  <si>
    <t>qls/h</t>
  </si>
  <si>
    <t>ne/pl</t>
  </si>
  <si>
    <t>Número de emisores por planta</t>
  </si>
  <si>
    <t>0,69- 0,874</t>
  </si>
  <si>
    <t>0,855- 1,083</t>
  </si>
  <si>
    <t>1,185-1,5</t>
  </si>
  <si>
    <t>Solape   %</t>
  </si>
  <si>
    <t xml:space="preserve">     1,25 -1,5</t>
  </si>
  <si>
    <t xml:space="preserve">       42-10</t>
  </si>
  <si>
    <t>rm=Dm/2=</t>
  </si>
  <si>
    <r>
      <rPr>
        <b/>
        <sz val="11"/>
        <color rgb="FFFF0000"/>
        <rFont val="Calibri"/>
        <family val="2"/>
        <scheme val="minor"/>
      </rPr>
      <t>Ej</t>
    </r>
    <r>
      <rPr>
        <sz val="11"/>
        <color theme="1"/>
        <rFont val="Calibri"/>
        <family val="2"/>
        <scheme val="minor"/>
      </rPr>
      <t>: Para solape 10/100             Se=0,92/2*(2-10/100)</t>
    </r>
  </si>
  <si>
    <t xml:space="preserve">   para solape 50/100</t>
  </si>
  <si>
    <t xml:space="preserve">    Se=0,92/2*(2-50/100)</t>
  </si>
  <si>
    <t>q ls/h</t>
  </si>
  <si>
    <t>4.Programación del riego</t>
  </si>
  <si>
    <t>NN´r* I=ne*q*tr</t>
  </si>
  <si>
    <r>
      <rPr>
        <b/>
        <sz val="11"/>
        <color rgb="FFFF0000"/>
        <rFont val="Calibri"/>
        <family val="2"/>
        <scheme val="minor"/>
      </rPr>
      <t>ne</t>
    </r>
    <r>
      <rPr>
        <sz val="11"/>
        <color theme="1"/>
        <rFont val="Calibri"/>
        <family val="2"/>
        <scheme val="minor"/>
      </rPr>
      <t>/pl =P/100*Spl/Sm</t>
    </r>
  </si>
  <si>
    <r>
      <rPr>
        <b/>
        <sz val="11"/>
        <color rgb="FFFF0000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>= pi*Dm^2/4</t>
    </r>
  </si>
  <si>
    <r>
      <t xml:space="preserve">Porcentaje de suelo mojado   </t>
    </r>
    <r>
      <rPr>
        <b/>
        <sz val="11"/>
        <color rgb="FFFF000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 &gt;33%</t>
    </r>
  </si>
  <si>
    <r>
      <rPr>
        <b/>
        <sz val="11"/>
        <color rgb="FFFF0000"/>
        <rFont val="Calibri"/>
        <family val="2"/>
        <scheme val="minor"/>
      </rPr>
      <t>Spl</t>
    </r>
    <r>
      <rPr>
        <sz val="11"/>
        <color theme="1"/>
        <rFont val="Calibri"/>
        <family val="2"/>
        <scheme val="minor"/>
      </rPr>
      <t xml:space="preserve"> S marco</t>
    </r>
  </si>
  <si>
    <t>4 x 4 m</t>
  </si>
  <si>
    <r>
      <rPr>
        <b/>
        <sz val="11"/>
        <color rgb="FFFF0000"/>
        <rFont val="Calibri"/>
        <family val="2"/>
        <scheme val="minor"/>
      </rPr>
      <t>Sm</t>
    </r>
    <r>
      <rPr>
        <sz val="11"/>
        <color theme="1"/>
        <rFont val="Calibri"/>
        <family val="2"/>
        <scheme val="minor"/>
      </rPr>
      <t xml:space="preserve"> (S mojada)</t>
    </r>
  </si>
  <si>
    <t>I=0,5;1;1,5;2 días</t>
  </si>
  <si>
    <t>I =0,5 días</t>
  </si>
  <si>
    <t>1 día</t>
  </si>
  <si>
    <r>
      <rPr>
        <b/>
        <sz val="11"/>
        <color rgb="FFFF0000"/>
        <rFont val="Calibri"/>
        <family val="2"/>
        <scheme val="minor"/>
      </rPr>
      <t>tr</t>
    </r>
    <r>
      <rPr>
        <sz val="11"/>
        <color theme="1"/>
        <rFont val="Calibri"/>
        <family val="2"/>
        <scheme val="minor"/>
      </rPr>
      <t>(tiempo de riego)=NN´r/ne*q</t>
    </r>
  </si>
  <si>
    <t>Número de sectores</t>
  </si>
  <si>
    <t>Qm ls/h</t>
  </si>
  <si>
    <t>Nº Sectores</t>
  </si>
  <si>
    <r>
      <rPr>
        <b/>
        <sz val="11"/>
        <color rgb="FFFF0000"/>
        <rFont val="Calibri"/>
        <family val="2"/>
        <scheme val="minor"/>
      </rPr>
      <t>Dm</t>
    </r>
    <r>
      <rPr>
        <sz val="11"/>
        <color theme="1"/>
        <rFont val="Calibri"/>
        <family val="2"/>
        <scheme val="minor"/>
      </rPr>
      <t xml:space="preserve">=0,7+0,11*q </t>
    </r>
  </si>
  <si>
    <t>90 días</t>
  </si>
  <si>
    <t>60 días</t>
  </si>
  <si>
    <t>FAO</t>
  </si>
  <si>
    <t>1: necesidades de riego</t>
  </si>
  <si>
    <t>Marco plantación  l = 0,5*4*4</t>
  </si>
  <si>
    <t>Superficie sombreada</t>
  </si>
  <si>
    <t xml:space="preserve"> (rio Isuela)</t>
  </si>
  <si>
    <r>
      <rPr>
        <b/>
        <sz val="11"/>
        <color rgb="FFFF0000"/>
        <rFont val="Calibri"/>
        <family val="2"/>
        <scheme val="minor"/>
      </rPr>
      <t xml:space="preserve">FL  </t>
    </r>
    <r>
      <rPr>
        <sz val="11"/>
        <color theme="1"/>
        <rFont val="Calibri"/>
        <family val="2"/>
        <scheme val="minor"/>
      </rPr>
      <t xml:space="preserve">                = Cca/2*Cea=</t>
    </r>
  </si>
  <si>
    <r>
      <rPr>
        <b/>
        <sz val="11"/>
        <color rgb="FFFF0000"/>
        <rFont val="Calibri"/>
        <family val="2"/>
        <scheme val="minor"/>
      </rPr>
      <t>Ej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:Dm=0,7+0,11*q(2 ls/h)=</t>
    </r>
    <r>
      <rPr>
        <sz val="11"/>
        <color rgb="FFFF0000"/>
        <rFont val="Calibri"/>
        <family val="2"/>
        <scheme val="minor"/>
      </rPr>
      <t>0,92 m</t>
    </r>
    <r>
      <rPr>
        <sz val="11"/>
        <color theme="1"/>
        <rFont val="Calibri"/>
        <family val="2"/>
        <scheme val="minor"/>
      </rPr>
      <t>;   Sm=pi*0,92^2/4=</t>
    </r>
    <r>
      <rPr>
        <sz val="11"/>
        <color rgb="FFFF0000"/>
        <rFont val="Calibri"/>
        <family val="2"/>
        <scheme val="minor"/>
      </rPr>
      <t>0,664m2</t>
    </r>
  </si>
  <si>
    <t>Dm</t>
  </si>
  <si>
    <r>
      <t xml:space="preserve">  </t>
    </r>
    <r>
      <rPr>
        <sz val="11"/>
        <color rgb="FFFF0000"/>
        <rFont val="Calibri"/>
        <family val="2"/>
        <scheme val="minor"/>
      </rPr>
      <t>Sep</t>
    </r>
    <r>
      <rPr>
        <sz val="11"/>
        <color theme="1"/>
        <rFont val="Calibri"/>
        <family val="2"/>
        <scheme val="minor"/>
      </rPr>
      <t xml:space="preserve"> Sol10%</t>
    </r>
  </si>
  <si>
    <r>
      <rPr>
        <sz val="11"/>
        <color rgb="FFFF0000"/>
        <rFont val="Calibri"/>
        <family val="2"/>
        <scheme val="minor"/>
      </rPr>
      <t>Sep</t>
    </r>
    <r>
      <rPr>
        <sz val="11"/>
        <color theme="1"/>
        <rFont val="Calibri"/>
        <family val="2"/>
        <scheme val="minor"/>
      </rPr>
      <t xml:space="preserve">  Sol 50 %</t>
    </r>
  </si>
  <si>
    <t xml:space="preserve">Separación </t>
  </si>
  <si>
    <r>
      <t xml:space="preserve">Solape   </t>
    </r>
    <r>
      <rPr>
        <b/>
        <sz val="11"/>
        <color rgb="FFFF0000"/>
        <rFont val="Calibri"/>
        <family val="2"/>
        <scheme val="minor"/>
      </rPr>
      <t>Se(</t>
    </r>
    <r>
      <rPr>
        <sz val="11"/>
        <color theme="1"/>
        <rFont val="Calibri"/>
        <family val="2"/>
        <scheme val="minor"/>
      </rPr>
      <t xml:space="preserve"> separación )=rm(2-Sol(%)/100</t>
    </r>
  </si>
  <si>
    <t>Sol=2-2Se/Dm=2*(1-Se/Dm)</t>
  </si>
  <si>
    <t>Calculamos Dm del bulbo en función del suelo ( franco)</t>
  </si>
  <si>
    <t>Rango  Sep</t>
  </si>
  <si>
    <t>Nº Has 10=</t>
  </si>
  <si>
    <t>ls</t>
  </si>
  <si>
    <t>Caudal total necesario=</t>
  </si>
  <si>
    <t>Caudal Abastecimiento</t>
  </si>
  <si>
    <r>
      <rPr>
        <sz val="11"/>
        <color rgb="FFFF0000"/>
        <rFont val="Calibri"/>
        <family val="2"/>
        <scheme val="minor"/>
      </rPr>
      <t>Ej</t>
    </r>
    <r>
      <rPr>
        <sz val="11"/>
        <color theme="1"/>
        <rFont val="Calibri"/>
        <family val="2"/>
        <scheme val="minor"/>
      </rPr>
      <t xml:space="preserve">  q=2ls/h </t>
    </r>
  </si>
  <si>
    <t>2*O36*O34/P39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</si>
</sst>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2" fontId="0" fillId="5" borderId="0" xfId="0" applyNumberFormat="1" applyFill="1"/>
    <xf numFmtId="0" fontId="0" fillId="5" borderId="0" xfId="0" applyFill="1"/>
    <xf numFmtId="2" fontId="3" fillId="0" borderId="0" xfId="0" applyNumberFormat="1" applyFont="1" applyFill="1"/>
    <xf numFmtId="2" fontId="2" fillId="0" borderId="0" xfId="0" applyNumberFormat="1" applyFont="1"/>
    <xf numFmtId="164" fontId="0" fillId="5" borderId="0" xfId="0" applyNumberFormat="1" applyFill="1"/>
    <xf numFmtId="0" fontId="0" fillId="3" borderId="0" xfId="0" applyFill="1"/>
    <xf numFmtId="0" fontId="3" fillId="0" borderId="0" xfId="0" applyFont="1" applyFill="1"/>
    <xf numFmtId="164" fontId="0" fillId="4" borderId="0" xfId="0" applyNumberFormat="1" applyFill="1"/>
    <xf numFmtId="164" fontId="0" fillId="2" borderId="0" xfId="0" applyNumberFormat="1" applyFill="1"/>
    <xf numFmtId="0" fontId="0" fillId="2" borderId="0" xfId="0" applyFill="1"/>
    <xf numFmtId="0" fontId="4" fillId="0" borderId="0" xfId="0" applyFont="1"/>
    <xf numFmtId="0" fontId="6" fillId="0" borderId="0" xfId="0" applyFont="1"/>
    <xf numFmtId="0" fontId="0" fillId="0" borderId="0" xfId="0"/>
    <xf numFmtId="0" fontId="5" fillId="0" borderId="0" xfId="0" applyFont="1"/>
    <xf numFmtId="0" fontId="2" fillId="0" borderId="0" xfId="0" applyFont="1"/>
    <xf numFmtId="164" fontId="0" fillId="0" borderId="0" xfId="0" applyNumberFormat="1"/>
    <xf numFmtId="9" fontId="0" fillId="0" borderId="0" xfId="0" applyNumberFormat="1"/>
    <xf numFmtId="0" fontId="8" fillId="0" borderId="0" xfId="0" applyFont="1"/>
    <xf numFmtId="0" fontId="10" fillId="0" borderId="0" xfId="0" applyFont="1"/>
    <xf numFmtId="0" fontId="7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7" fillId="9" borderId="0" xfId="0" applyFont="1" applyFill="1"/>
    <xf numFmtId="0" fontId="11" fillId="0" borderId="0" xfId="0" applyFont="1"/>
    <xf numFmtId="2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42</xdr:row>
      <xdr:rowOff>171451</xdr:rowOff>
    </xdr:from>
    <xdr:to>
      <xdr:col>13</xdr:col>
      <xdr:colOff>9525</xdr:colOff>
      <xdr:row>54</xdr:row>
      <xdr:rowOff>19050</xdr:rowOff>
    </xdr:to>
    <xdr:cxnSp macro="">
      <xdr:nvCxnSpPr>
        <xdr:cNvPr id="15" name="14 Conector recto"/>
        <xdr:cNvCxnSpPr/>
      </xdr:nvCxnSpPr>
      <xdr:spPr>
        <a:xfrm flipV="1">
          <a:off x="7620000" y="4057651"/>
          <a:ext cx="2295525" cy="2133599"/>
        </a:xfrm>
        <a:prstGeom prst="line">
          <a:avLst/>
        </a:prstGeom>
        <a:ln w="381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42</xdr:row>
      <xdr:rowOff>180975</xdr:rowOff>
    </xdr:from>
    <xdr:to>
      <xdr:col>15</xdr:col>
      <xdr:colOff>9525</xdr:colOff>
      <xdr:row>42</xdr:row>
      <xdr:rowOff>180975</xdr:rowOff>
    </xdr:to>
    <xdr:cxnSp macro="">
      <xdr:nvCxnSpPr>
        <xdr:cNvPr id="16" name="15 Conector recto"/>
        <xdr:cNvCxnSpPr/>
      </xdr:nvCxnSpPr>
      <xdr:spPr>
        <a:xfrm>
          <a:off x="9906000" y="4067175"/>
          <a:ext cx="153352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42</xdr:row>
      <xdr:rowOff>180975</xdr:rowOff>
    </xdr:from>
    <xdr:to>
      <xdr:col>15</xdr:col>
      <xdr:colOff>542925</xdr:colOff>
      <xdr:row>42</xdr:row>
      <xdr:rowOff>180976</xdr:rowOff>
    </xdr:to>
    <xdr:cxnSp macro="">
      <xdr:nvCxnSpPr>
        <xdr:cNvPr id="18" name="17 Conector recto"/>
        <xdr:cNvCxnSpPr/>
      </xdr:nvCxnSpPr>
      <xdr:spPr>
        <a:xfrm flipV="1">
          <a:off x="11439525" y="4067175"/>
          <a:ext cx="533400" cy="1"/>
        </a:xfrm>
        <a:prstGeom prst="line">
          <a:avLst/>
        </a:prstGeom>
        <a:ln w="381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276225</xdr:colOff>
      <xdr:row>54</xdr:row>
      <xdr:rowOff>9525</xdr:rowOff>
    </xdr:from>
    <xdr:to>
      <xdr:col>10</xdr:col>
      <xdr:colOff>9525</xdr:colOff>
      <xdr:row>54</xdr:row>
      <xdr:rowOff>9527</xdr:rowOff>
    </xdr:to>
    <xdr:cxnSp macro="">
      <xdr:nvCxnSpPr>
        <xdr:cNvPr id="22" name="21 Conector recto"/>
        <xdr:cNvCxnSpPr/>
      </xdr:nvCxnSpPr>
      <xdr:spPr>
        <a:xfrm>
          <a:off x="7134225" y="10372725"/>
          <a:ext cx="495300" cy="2"/>
        </a:xfrm>
        <a:prstGeom prst="line">
          <a:avLst/>
        </a:prstGeom>
        <a:ln w="3810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0"/>
  <sheetViews>
    <sheetView tabSelected="1" workbookViewId="0">
      <selection activeCell="T40" sqref="T40"/>
    </sheetView>
  </sheetViews>
  <sheetFormatPr baseColWidth="10" defaultRowHeight="15" x14ac:dyDescent="0.25"/>
  <cols>
    <col min="16" max="16" width="12.7109375" customWidth="1"/>
  </cols>
  <sheetData>
    <row r="1" spans="2:19" ht="21" x14ac:dyDescent="0.35">
      <c r="B1" s="16" t="s">
        <v>40</v>
      </c>
      <c r="I1" s="17" t="s">
        <v>43</v>
      </c>
      <c r="K1" t="s">
        <v>90</v>
      </c>
      <c r="N1" t="s">
        <v>75</v>
      </c>
      <c r="O1" t="s">
        <v>47</v>
      </c>
    </row>
    <row r="2" spans="2:19" x14ac:dyDescent="0.25">
      <c r="I2" s="24" t="s">
        <v>129</v>
      </c>
      <c r="K2" s="26" t="s">
        <v>74</v>
      </c>
      <c r="L2" t="s">
        <v>128</v>
      </c>
      <c r="N2" t="s">
        <v>46</v>
      </c>
      <c r="O2" t="s">
        <v>48</v>
      </c>
      <c r="Q2" t="s">
        <v>49</v>
      </c>
    </row>
    <row r="3" spans="2:19" x14ac:dyDescent="0.25">
      <c r="I3" t="s">
        <v>59</v>
      </c>
      <c r="K3" s="20">
        <v>4.0999999999999996</v>
      </c>
      <c r="L3" t="s">
        <v>50</v>
      </c>
      <c r="M3" t="s">
        <v>130</v>
      </c>
      <c r="P3">
        <v>8</v>
      </c>
      <c r="Q3" t="s">
        <v>62</v>
      </c>
      <c r="S3" s="18"/>
    </row>
    <row r="4" spans="2:19" x14ac:dyDescent="0.25">
      <c r="B4" t="s">
        <v>32</v>
      </c>
      <c r="C4" t="s">
        <v>0</v>
      </c>
      <c r="E4" t="s">
        <v>33</v>
      </c>
      <c r="I4" t="s">
        <v>131</v>
      </c>
      <c r="K4" s="20" t="s">
        <v>61</v>
      </c>
      <c r="L4" s="22">
        <v>0.5</v>
      </c>
      <c r="M4">
        <v>0.5</v>
      </c>
      <c r="S4" s="18"/>
    </row>
    <row r="5" spans="2:19" x14ac:dyDescent="0.25">
      <c r="B5" t="s">
        <v>1</v>
      </c>
      <c r="D5" t="s">
        <v>2</v>
      </c>
      <c r="E5" t="s">
        <v>44</v>
      </c>
      <c r="F5" t="s">
        <v>3</v>
      </c>
      <c r="G5" t="s">
        <v>4</v>
      </c>
      <c r="I5" s="2" t="s">
        <v>63</v>
      </c>
      <c r="J5" t="s">
        <v>64</v>
      </c>
      <c r="K5" s="2">
        <f>1.34*M4</f>
        <v>0.67</v>
      </c>
      <c r="N5" s="19"/>
      <c r="S5" s="18"/>
    </row>
    <row r="6" spans="2:19" x14ac:dyDescent="0.25">
      <c r="B6" t="s">
        <v>5</v>
      </c>
      <c r="C6" t="s">
        <v>6</v>
      </c>
      <c r="D6">
        <v>0.25</v>
      </c>
      <c r="E6">
        <v>0.4</v>
      </c>
      <c r="F6">
        <v>0.5</v>
      </c>
      <c r="G6">
        <v>0.5</v>
      </c>
      <c r="J6" t="s">
        <v>65</v>
      </c>
      <c r="K6" s="2">
        <f>0.1+M4</f>
        <v>0.6</v>
      </c>
      <c r="L6" s="23">
        <f>(K5+K6)/2</f>
        <v>0.63500000000000001</v>
      </c>
      <c r="S6" s="18"/>
    </row>
    <row r="7" spans="2:19" x14ac:dyDescent="0.25">
      <c r="C7" s="7" t="s">
        <v>7</v>
      </c>
      <c r="D7" s="6">
        <v>9.8125000000000004E-2</v>
      </c>
      <c r="E7" s="6">
        <v>0.25119999999999998</v>
      </c>
      <c r="F7" s="6">
        <v>0.39250000000000002</v>
      </c>
      <c r="G7" s="6">
        <v>0.39250000000000002</v>
      </c>
      <c r="J7" t="s">
        <v>68</v>
      </c>
      <c r="K7">
        <f>M4+0.5*(1-M4)</f>
        <v>0.75</v>
      </c>
      <c r="S7" s="18"/>
    </row>
    <row r="8" spans="2:19" x14ac:dyDescent="0.25">
      <c r="B8" t="s">
        <v>8</v>
      </c>
      <c r="D8" s="8">
        <v>0.22359374999999998</v>
      </c>
      <c r="E8" s="8">
        <v>0.33840000000000003</v>
      </c>
      <c r="F8" s="8">
        <v>0.44437499999999996</v>
      </c>
      <c r="G8" s="8">
        <v>0.44437499999999996</v>
      </c>
      <c r="J8" t="s">
        <v>67</v>
      </c>
      <c r="K8">
        <f>M4+0.15*(1-M4)</f>
        <v>0.57499999999999996</v>
      </c>
      <c r="S8" s="18"/>
    </row>
    <row r="9" spans="2:19" x14ac:dyDescent="0.25">
      <c r="B9" t="s">
        <v>9</v>
      </c>
      <c r="D9" s="8">
        <v>0.13148750000000001</v>
      </c>
      <c r="E9" s="8">
        <v>0.33660800000000007</v>
      </c>
      <c r="F9" s="8">
        <v>0.52595000000000003</v>
      </c>
      <c r="G9" s="8">
        <v>0.52595000000000003</v>
      </c>
      <c r="I9" s="20" t="s">
        <v>66</v>
      </c>
      <c r="J9" t="s">
        <v>72</v>
      </c>
      <c r="L9" s="23">
        <f>1.2</f>
        <v>1.2</v>
      </c>
      <c r="M9" s="18" t="s">
        <v>69</v>
      </c>
      <c r="N9" t="s">
        <v>71</v>
      </c>
      <c r="S9" s="18"/>
    </row>
    <row r="10" spans="2:19" x14ac:dyDescent="0.25">
      <c r="B10" t="s">
        <v>10</v>
      </c>
      <c r="D10" s="8">
        <v>0.54906250000000001</v>
      </c>
      <c r="E10" s="8">
        <v>0.62560000000000004</v>
      </c>
      <c r="F10" s="8">
        <v>0.69625000000000004</v>
      </c>
      <c r="G10" s="8">
        <v>0.69625000000000004</v>
      </c>
      <c r="I10" s="20" t="s">
        <v>47</v>
      </c>
      <c r="J10" t="s">
        <v>73</v>
      </c>
      <c r="L10" s="23">
        <v>0.95</v>
      </c>
      <c r="M10" t="s">
        <v>69</v>
      </c>
      <c r="N10" s="9">
        <f>L6*L9*L10*K3</f>
        <v>2.9679899999999999</v>
      </c>
      <c r="O10" t="s">
        <v>70</v>
      </c>
      <c r="S10" s="18"/>
    </row>
    <row r="11" spans="2:19" x14ac:dyDescent="0.25">
      <c r="B11" t="s">
        <v>11</v>
      </c>
      <c r="D11" s="8">
        <v>0.198125</v>
      </c>
      <c r="E11" s="8">
        <v>0.35120000000000007</v>
      </c>
      <c r="F11" s="8">
        <v>0.49250000000000005</v>
      </c>
      <c r="G11" s="8">
        <v>0.49250000000000005</v>
      </c>
      <c r="S11" s="21"/>
    </row>
    <row r="12" spans="2:19" x14ac:dyDescent="0.25">
      <c r="C12" t="s">
        <v>12</v>
      </c>
      <c r="D12" s="3">
        <v>0.17754062500000001</v>
      </c>
      <c r="E12" s="3">
        <v>0.34</v>
      </c>
      <c r="F12" s="3">
        <v>0.48499999999999999</v>
      </c>
      <c r="G12" s="3">
        <v>0.48499999999999999</v>
      </c>
      <c r="I12" s="24" t="s">
        <v>76</v>
      </c>
      <c r="S12" s="18"/>
    </row>
    <row r="13" spans="2:19" x14ac:dyDescent="0.25">
      <c r="C13" t="s">
        <v>13</v>
      </c>
      <c r="D13" s="3">
        <v>1.2</v>
      </c>
      <c r="E13" s="3">
        <v>1.2</v>
      </c>
      <c r="F13" s="3">
        <v>1.2</v>
      </c>
      <c r="G13" s="3">
        <v>1.2</v>
      </c>
      <c r="I13" t="s">
        <v>77</v>
      </c>
      <c r="K13" t="s">
        <v>133</v>
      </c>
      <c r="M13" s="23">
        <f>L16/(2*L14)</f>
        <v>9.0249999999999997E-2</v>
      </c>
      <c r="S13" s="21"/>
    </row>
    <row r="14" spans="2:19" x14ac:dyDescent="0.25">
      <c r="C14" t="s">
        <v>14</v>
      </c>
      <c r="D14" s="3">
        <v>0.97</v>
      </c>
      <c r="E14" s="3">
        <v>0.97</v>
      </c>
      <c r="F14" s="3">
        <v>0.97</v>
      </c>
      <c r="G14" s="3">
        <v>0.97</v>
      </c>
      <c r="K14" s="20" t="s">
        <v>78</v>
      </c>
      <c r="L14" s="29">
        <v>4</v>
      </c>
      <c r="M14" t="s">
        <v>81</v>
      </c>
      <c r="N14" t="s">
        <v>86</v>
      </c>
      <c r="P14" s="3">
        <f>N10/(1-M13)</f>
        <v>3.2624237427864795</v>
      </c>
      <c r="Q14" t="s">
        <v>16</v>
      </c>
      <c r="S14" s="21"/>
    </row>
    <row r="15" spans="2:19" x14ac:dyDescent="0.25">
      <c r="C15" s="1" t="s">
        <v>15</v>
      </c>
      <c r="D15" s="9">
        <v>0.20665728750000001</v>
      </c>
      <c r="E15" s="9">
        <v>0.39576</v>
      </c>
      <c r="F15" s="9">
        <v>0.56453999999999993</v>
      </c>
      <c r="G15" s="9">
        <v>0.56453999999999993</v>
      </c>
      <c r="I15" t="s">
        <v>79</v>
      </c>
      <c r="N15" t="s">
        <v>87</v>
      </c>
      <c r="P15" s="9">
        <f>N10/(M17*M18)</f>
        <v>3.4713333333333334</v>
      </c>
      <c r="Q15" s="18" t="s">
        <v>16</v>
      </c>
      <c r="S15" s="18"/>
    </row>
    <row r="16" spans="2:19" x14ac:dyDescent="0.25">
      <c r="I16" t="s">
        <v>80</v>
      </c>
      <c r="K16" t="s">
        <v>132</v>
      </c>
      <c r="L16" s="29">
        <v>0.72199999999999998</v>
      </c>
      <c r="M16" t="s">
        <v>81</v>
      </c>
      <c r="N16" t="s">
        <v>88</v>
      </c>
      <c r="S16" s="21"/>
    </row>
    <row r="17" spans="2:19" x14ac:dyDescent="0.25">
      <c r="D17" t="s">
        <v>35</v>
      </c>
      <c r="F17" t="s">
        <v>36</v>
      </c>
      <c r="I17" t="s">
        <v>82</v>
      </c>
      <c r="J17" t="s">
        <v>30</v>
      </c>
      <c r="L17" s="23" t="s">
        <v>83</v>
      </c>
      <c r="M17" s="23">
        <v>0.95</v>
      </c>
      <c r="S17" s="18"/>
    </row>
    <row r="18" spans="2:19" x14ac:dyDescent="0.25">
      <c r="D18" t="s">
        <v>37</v>
      </c>
      <c r="I18" t="s">
        <v>23</v>
      </c>
      <c r="J18" t="s">
        <v>84</v>
      </c>
      <c r="L18" s="19" t="s">
        <v>85</v>
      </c>
      <c r="M18" s="29">
        <v>0.9</v>
      </c>
      <c r="S18" s="21"/>
    </row>
    <row r="19" spans="2:19" x14ac:dyDescent="0.25">
      <c r="D19" s="12" t="s">
        <v>38</v>
      </c>
      <c r="F19" s="11">
        <v>6.7000000000000004E-2</v>
      </c>
      <c r="G19" t="s">
        <v>17</v>
      </c>
      <c r="I19" s="24" t="s">
        <v>89</v>
      </c>
      <c r="N19" t="s">
        <v>91</v>
      </c>
      <c r="O19" t="s">
        <v>92</v>
      </c>
      <c r="P19" t="s">
        <v>93</v>
      </c>
      <c r="S19" s="18"/>
    </row>
    <row r="20" spans="2:19" x14ac:dyDescent="0.25">
      <c r="D20" s="2" t="s">
        <v>18</v>
      </c>
      <c r="I20" t="s">
        <v>141</v>
      </c>
      <c r="N20">
        <v>2</v>
      </c>
      <c r="O20" s="2">
        <f>0.7+0.11*N20</f>
        <v>0.91999999999999993</v>
      </c>
      <c r="P20" s="30">
        <f>3.14*O20^2/4</f>
        <v>0.6644239999999999</v>
      </c>
      <c r="S20" s="18"/>
    </row>
    <row r="21" spans="2:19" x14ac:dyDescent="0.25">
      <c r="B21" t="s">
        <v>34</v>
      </c>
      <c r="D21" t="s">
        <v>19</v>
      </c>
      <c r="F21" t="s">
        <v>41</v>
      </c>
      <c r="I21" t="s">
        <v>125</v>
      </c>
      <c r="K21" t="s">
        <v>113</v>
      </c>
      <c r="N21">
        <v>4</v>
      </c>
      <c r="O21" s="2">
        <f>0.7+0.11*N21</f>
        <v>1.1399999999999999</v>
      </c>
      <c r="P21" s="30">
        <f>3.14*O21^2/4</f>
        <v>1.020186</v>
      </c>
      <c r="S21" s="18"/>
    </row>
    <row r="22" spans="2:19" x14ac:dyDescent="0.25">
      <c r="B22" t="s">
        <v>16</v>
      </c>
      <c r="D22" t="s">
        <v>42</v>
      </c>
      <c r="I22" t="s">
        <v>134</v>
      </c>
      <c r="N22">
        <v>8</v>
      </c>
      <c r="O22" s="2">
        <f t="shared" ref="O22" si="0">0.7+0.11*N22</f>
        <v>1.58</v>
      </c>
      <c r="P22" s="30">
        <f>3.14*O22^2/4</f>
        <v>1.9596740000000004</v>
      </c>
      <c r="S22" s="18"/>
    </row>
    <row r="23" spans="2:19" x14ac:dyDescent="0.25">
      <c r="B23" t="s">
        <v>20</v>
      </c>
      <c r="D23" t="s">
        <v>21</v>
      </c>
      <c r="E23" t="s">
        <v>22</v>
      </c>
      <c r="F23" t="s">
        <v>23</v>
      </c>
      <c r="G23" t="s">
        <v>39</v>
      </c>
      <c r="I23" t="s">
        <v>114</v>
      </c>
      <c r="M23" t="s">
        <v>95</v>
      </c>
    </row>
    <row r="24" spans="2:19" x14ac:dyDescent="0.25">
      <c r="E24">
        <v>0.92</v>
      </c>
      <c r="F24">
        <v>0.9</v>
      </c>
      <c r="G24">
        <f>E24*F24</f>
        <v>0.82800000000000007</v>
      </c>
      <c r="I24" t="s">
        <v>112</v>
      </c>
      <c r="L24" t="s">
        <v>96</v>
      </c>
      <c r="M24" t="s">
        <v>97</v>
      </c>
      <c r="N24" t="s">
        <v>142</v>
      </c>
      <c r="O24" t="s">
        <v>138</v>
      </c>
      <c r="P24" t="s">
        <v>102</v>
      </c>
    </row>
    <row r="25" spans="2:19" x14ac:dyDescent="0.25">
      <c r="B25" s="10">
        <v>6.8816876737500001</v>
      </c>
      <c r="C25" t="s">
        <v>24</v>
      </c>
      <c r="D25" s="13">
        <v>7.3837850576716697</v>
      </c>
      <c r="E25" s="14">
        <f>B25/E24</f>
        <v>7.4800952975543478</v>
      </c>
      <c r="F25" s="4">
        <v>8.3112169972826084</v>
      </c>
      <c r="G25" s="4">
        <f>B25/$G$24</f>
        <v>8.3112169972826084</v>
      </c>
      <c r="I25" t="s">
        <v>98</v>
      </c>
      <c r="L25">
        <v>2</v>
      </c>
      <c r="M25" s="3">
        <v>10</v>
      </c>
      <c r="N25" t="s">
        <v>99</v>
      </c>
      <c r="O25">
        <v>0.75</v>
      </c>
      <c r="P25">
        <v>37</v>
      </c>
    </row>
    <row r="26" spans="2:19" x14ac:dyDescent="0.25">
      <c r="B26" s="10">
        <v>7.2536707912500002</v>
      </c>
      <c r="D26" s="13"/>
      <c r="E26" s="14"/>
      <c r="F26" s="4"/>
      <c r="G26" s="4"/>
      <c r="I26" t="s">
        <v>115</v>
      </c>
      <c r="J26" t="s">
        <v>116</v>
      </c>
      <c r="L26">
        <v>4</v>
      </c>
      <c r="M26" s="3">
        <v>7</v>
      </c>
      <c r="N26" t="s">
        <v>100</v>
      </c>
      <c r="O26">
        <v>1</v>
      </c>
      <c r="P26">
        <v>25</v>
      </c>
    </row>
    <row r="27" spans="2:19" x14ac:dyDescent="0.25">
      <c r="B27" s="10">
        <v>17.533751039999999</v>
      </c>
      <c r="C27" t="s">
        <v>25</v>
      </c>
      <c r="D27" s="13">
        <v>26.595946170869102</v>
      </c>
      <c r="E27" s="14">
        <f>(B26+B27)/E24</f>
        <v>26.942849816576086</v>
      </c>
      <c r="F27" s="4">
        <v>29.936499796195651</v>
      </c>
      <c r="G27" s="4">
        <f>(B27+B26)/$G$24</f>
        <v>29.936499796195651</v>
      </c>
      <c r="I27" t="s">
        <v>117</v>
      </c>
      <c r="J27" t="s">
        <v>94</v>
      </c>
      <c r="K27" t="s">
        <v>105</v>
      </c>
      <c r="L27">
        <v>8</v>
      </c>
      <c r="M27" s="3">
        <v>4</v>
      </c>
      <c r="N27" t="s">
        <v>101</v>
      </c>
      <c r="O27" t="s">
        <v>103</v>
      </c>
      <c r="P27" t="s">
        <v>104</v>
      </c>
    </row>
    <row r="28" spans="2:19" x14ac:dyDescent="0.25">
      <c r="B28" s="10">
        <v>34.267126949999998</v>
      </c>
      <c r="D28" s="13"/>
      <c r="E28" s="15"/>
      <c r="F28" s="4"/>
      <c r="G28" s="4"/>
      <c r="I28" t="s">
        <v>139</v>
      </c>
      <c r="M28" t="s">
        <v>109</v>
      </c>
      <c r="N28" t="s">
        <v>135</v>
      </c>
      <c r="O28" t="s">
        <v>136</v>
      </c>
      <c r="P28" s="22" t="s">
        <v>137</v>
      </c>
    </row>
    <row r="29" spans="2:19" x14ac:dyDescent="0.25">
      <c r="B29" s="10">
        <v>20.560276169999998</v>
      </c>
      <c r="D29" s="13"/>
      <c r="E29" s="15"/>
      <c r="F29" s="4"/>
      <c r="G29" s="4"/>
      <c r="J29" t="s">
        <v>140</v>
      </c>
      <c r="M29">
        <v>2</v>
      </c>
      <c r="N29">
        <f>O20</f>
        <v>0.91999999999999993</v>
      </c>
      <c r="O29">
        <f>N29/2*(2-0.1)</f>
        <v>0.87399999999999989</v>
      </c>
      <c r="P29" s="18">
        <f>N29/2*(2-0.5)</f>
        <v>0.69</v>
      </c>
    </row>
    <row r="30" spans="2:19" x14ac:dyDescent="0.25">
      <c r="B30" s="10">
        <v>24.540553799999991</v>
      </c>
      <c r="C30" t="s">
        <v>26</v>
      </c>
      <c r="D30" s="13">
        <v>85.158752060085831</v>
      </c>
      <c r="E30" s="14">
        <v>86.269518391304302</v>
      </c>
      <c r="F30" s="4">
        <v>95.855020434782588</v>
      </c>
      <c r="G30" s="4">
        <f>(B29+B28+B30)/$G$24</f>
        <v>95.855020434782574</v>
      </c>
      <c r="I30" t="s">
        <v>106</v>
      </c>
      <c r="M30">
        <v>4</v>
      </c>
      <c r="N30" s="18">
        <f>O21</f>
        <v>1.1399999999999999</v>
      </c>
      <c r="O30" s="18">
        <f t="shared" ref="O30" si="1">N30/2*(2-0.1)</f>
        <v>1.083</v>
      </c>
      <c r="P30" s="18">
        <f t="shared" ref="P30:P31" si="2">N30/2*(2-0.5)</f>
        <v>0.85499999999999998</v>
      </c>
    </row>
    <row r="31" spans="2:19" x14ac:dyDescent="0.25">
      <c r="B31" s="10">
        <v>74.79025919999998</v>
      </c>
      <c r="D31" s="13"/>
      <c r="E31" s="14"/>
      <c r="F31" s="4"/>
      <c r="G31" s="4"/>
      <c r="I31" t="s">
        <v>107</v>
      </c>
      <c r="K31" t="s">
        <v>108</v>
      </c>
      <c r="M31">
        <v>8</v>
      </c>
      <c r="N31" s="18">
        <f t="shared" ref="N31" si="3">O22</f>
        <v>1.58</v>
      </c>
      <c r="O31" s="18">
        <f>N31/2*(2-0.1)</f>
        <v>1.5009999999999999</v>
      </c>
      <c r="P31" s="18">
        <f t="shared" si="2"/>
        <v>1.1850000000000001</v>
      </c>
    </row>
    <row r="32" spans="2:19" x14ac:dyDescent="0.25">
      <c r="B32" s="10">
        <v>70.115867999999992</v>
      </c>
      <c r="C32" t="s">
        <v>27</v>
      </c>
      <c r="D32" s="13">
        <v>155.47867725321885</v>
      </c>
      <c r="E32" s="14">
        <v>157.50665999999995</v>
      </c>
      <c r="F32" s="4">
        <v>175.00739999999993</v>
      </c>
      <c r="G32" s="4">
        <f>(B32+B31)/$G$24</f>
        <v>175.00739999999993</v>
      </c>
    </row>
    <row r="33" spans="2:17" x14ac:dyDescent="0.25">
      <c r="B33" s="10">
        <v>32.887842239999991</v>
      </c>
      <c r="D33" s="13"/>
      <c r="E33" s="14"/>
      <c r="F33" s="4"/>
      <c r="G33" s="4"/>
      <c r="I33" s="24" t="s">
        <v>110</v>
      </c>
      <c r="K33" t="s">
        <v>111</v>
      </c>
      <c r="N33" t="s">
        <v>122</v>
      </c>
    </row>
    <row r="34" spans="2:17" x14ac:dyDescent="0.25">
      <c r="B34" s="10">
        <v>112.43717363999997</v>
      </c>
      <c r="C34" t="s">
        <v>28</v>
      </c>
      <c r="D34" s="13">
        <v>155.92812862660941</v>
      </c>
      <c r="E34" s="14">
        <v>157.96197378260865</v>
      </c>
      <c r="F34" s="4">
        <v>175.5133042028985</v>
      </c>
      <c r="G34" s="4">
        <f>(B34+B33)/$G$24</f>
        <v>175.5133042028985</v>
      </c>
      <c r="I34" t="s">
        <v>121</v>
      </c>
      <c r="L34" t="s">
        <v>118</v>
      </c>
      <c r="N34" t="s">
        <v>143</v>
      </c>
      <c r="O34">
        <v>100000</v>
      </c>
      <c r="P34" t="s">
        <v>62</v>
      </c>
    </row>
    <row r="35" spans="2:17" x14ac:dyDescent="0.25">
      <c r="B35" s="10">
        <v>16.239181279999993</v>
      </c>
      <c r="C35" t="s">
        <v>29</v>
      </c>
      <c r="D35" s="13">
        <v>17.424014248927033</v>
      </c>
      <c r="E35" s="14">
        <v>17.651283999999993</v>
      </c>
      <c r="F35" s="4">
        <v>19.612537777777771</v>
      </c>
      <c r="G35" s="4">
        <f>B35/$G$24</f>
        <v>19.612537777777767</v>
      </c>
      <c r="I35" s="18" t="s">
        <v>109</v>
      </c>
      <c r="J35" t="s">
        <v>119</v>
      </c>
      <c r="K35" t="s">
        <v>120</v>
      </c>
      <c r="L35">
        <v>1.5</v>
      </c>
      <c r="M35">
        <v>2</v>
      </c>
      <c r="N35" s="18" t="s">
        <v>109</v>
      </c>
      <c r="O35" t="s">
        <v>97</v>
      </c>
      <c r="P35" t="s">
        <v>123</v>
      </c>
      <c r="Q35" t="s">
        <v>124</v>
      </c>
    </row>
    <row r="36" spans="2:17" x14ac:dyDescent="0.25">
      <c r="B36" s="5">
        <v>401.2682095049999</v>
      </c>
      <c r="D36" s="4">
        <v>430.54528916845487</v>
      </c>
      <c r="E36" s="4">
        <v>436.16109728804338</v>
      </c>
      <c r="F36" s="4">
        <v>484.62344143115899</v>
      </c>
      <c r="G36" s="5">
        <f>SUM(G25:G35)</f>
        <v>504.23597920893707</v>
      </c>
      <c r="I36" s="18">
        <v>2</v>
      </c>
      <c r="J36">
        <v>1.18</v>
      </c>
      <c r="K36">
        <v>2.36</v>
      </c>
      <c r="L36">
        <v>3.54</v>
      </c>
      <c r="M36">
        <v>4.78</v>
      </c>
      <c r="N36" s="18">
        <v>2</v>
      </c>
      <c r="O36" s="2">
        <v>10</v>
      </c>
      <c r="P36">
        <f>N36*O36*O34/(4*4)</f>
        <v>125000</v>
      </c>
      <c r="Q36" s="31">
        <f>P36/P39</f>
        <v>3.4722222222222223</v>
      </c>
    </row>
    <row r="37" spans="2:17" x14ac:dyDescent="0.25">
      <c r="C37" s="4" t="s">
        <v>30</v>
      </c>
      <c r="E37" s="4"/>
      <c r="F37" s="4"/>
      <c r="G37" s="4"/>
      <c r="I37" s="18">
        <v>4</v>
      </c>
      <c r="J37">
        <v>0.88</v>
      </c>
      <c r="K37">
        <v>1.768</v>
      </c>
      <c r="L37">
        <v>2.6579999999999999</v>
      </c>
      <c r="M37">
        <v>3.536</v>
      </c>
      <c r="N37" s="18">
        <v>4</v>
      </c>
      <c r="O37">
        <v>7</v>
      </c>
      <c r="P37" s="18">
        <f>N37*O37*O34/(4*4)</f>
        <v>175000</v>
      </c>
      <c r="Q37" s="31">
        <f>P37/P39</f>
        <v>4.8611111111111107</v>
      </c>
    </row>
    <row r="38" spans="2:17" x14ac:dyDescent="0.25">
      <c r="C38" s="4">
        <f>G34/31</f>
        <v>5.6617194904160808</v>
      </c>
      <c r="D38" s="4" t="s">
        <v>16</v>
      </c>
      <c r="F38" s="4">
        <f>C38/2</f>
        <v>2.8308597452080404</v>
      </c>
      <c r="G38" s="4" t="s">
        <v>31</v>
      </c>
      <c r="I38" s="18">
        <v>8</v>
      </c>
      <c r="N38" s="18">
        <v>8</v>
      </c>
      <c r="O38">
        <v>4</v>
      </c>
      <c r="P38" s="18">
        <f>N38*O38*O34/(4*4)</f>
        <v>200000</v>
      </c>
      <c r="Q38" s="31">
        <f>P38/P39</f>
        <v>5.5555555555555554</v>
      </c>
    </row>
    <row r="39" spans="2:17" x14ac:dyDescent="0.25">
      <c r="I39" t="s">
        <v>147</v>
      </c>
      <c r="J39" t="s">
        <v>145</v>
      </c>
      <c r="L39" t="s">
        <v>148</v>
      </c>
      <c r="M39">
        <f>N36*O36*10*10000</f>
        <v>2000000</v>
      </c>
      <c r="N39" t="s">
        <v>146</v>
      </c>
      <c r="P39">
        <v>36000</v>
      </c>
      <c r="Q39" t="s">
        <v>144</v>
      </c>
    </row>
    <row r="40" spans="2:17" x14ac:dyDescent="0.25">
      <c r="L40" s="18"/>
    </row>
    <row r="44" spans="2:17" x14ac:dyDescent="0.25">
      <c r="I44" s="18">
        <v>0.65</v>
      </c>
    </row>
    <row r="45" spans="2:17" x14ac:dyDescent="0.25">
      <c r="I45" s="18">
        <v>0.64</v>
      </c>
    </row>
    <row r="46" spans="2:17" x14ac:dyDescent="0.25">
      <c r="I46" s="18">
        <v>0.63</v>
      </c>
    </row>
    <row r="47" spans="2:17" x14ac:dyDescent="0.25">
      <c r="I47" s="18">
        <v>0.62</v>
      </c>
    </row>
    <row r="48" spans="2:17" x14ac:dyDescent="0.25">
      <c r="I48" s="18">
        <v>0.61</v>
      </c>
    </row>
    <row r="49" spans="9:16" x14ac:dyDescent="0.25">
      <c r="I49" s="18">
        <v>0.6</v>
      </c>
    </row>
    <row r="50" spans="9:16" x14ac:dyDescent="0.25">
      <c r="I50" s="18">
        <v>0.59</v>
      </c>
    </row>
    <row r="51" spans="9:16" x14ac:dyDescent="0.25">
      <c r="I51" s="18">
        <v>0.57999999999999996</v>
      </c>
    </row>
    <row r="52" spans="9:16" x14ac:dyDescent="0.25">
      <c r="I52" s="18">
        <v>0.56999999999999995</v>
      </c>
    </row>
    <row r="53" spans="9:16" x14ac:dyDescent="0.25">
      <c r="I53">
        <v>0.56000000000000005</v>
      </c>
    </row>
    <row r="54" spans="9:16" x14ac:dyDescent="0.25">
      <c r="I54">
        <v>0.55000000000000004</v>
      </c>
    </row>
    <row r="56" spans="9:16" x14ac:dyDescent="0.25">
      <c r="J56" s="25" t="s">
        <v>60</v>
      </c>
      <c r="L56" s="26" t="s">
        <v>126</v>
      </c>
      <c r="N56" s="28" t="s">
        <v>127</v>
      </c>
      <c r="P56" s="27" t="s">
        <v>60</v>
      </c>
    </row>
    <row r="57" spans="9:16" x14ac:dyDescent="0.25">
      <c r="J57" t="s">
        <v>45</v>
      </c>
      <c r="K57" t="s">
        <v>24</v>
      </c>
      <c r="L57" t="s">
        <v>25</v>
      </c>
      <c r="M57" s="18" t="s">
        <v>26</v>
      </c>
      <c r="N57" s="18" t="s">
        <v>27</v>
      </c>
      <c r="O57" s="18" t="s">
        <v>28</v>
      </c>
      <c r="P57" s="18" t="s">
        <v>29</v>
      </c>
    </row>
    <row r="58" spans="9:16" x14ac:dyDescent="0.25">
      <c r="I58" t="s">
        <v>56</v>
      </c>
      <c r="J58">
        <v>0.55000000000000004</v>
      </c>
      <c r="K58" s="18">
        <v>0.65</v>
      </c>
      <c r="L58" s="18">
        <v>0.65</v>
      </c>
      <c r="M58">
        <v>0.65</v>
      </c>
      <c r="N58">
        <v>0.65</v>
      </c>
      <c r="O58">
        <v>0.65</v>
      </c>
      <c r="P58">
        <v>0.65</v>
      </c>
    </row>
    <row r="59" spans="9:16" x14ac:dyDescent="0.25">
      <c r="I59" t="s">
        <v>57</v>
      </c>
      <c r="J59">
        <v>2.6</v>
      </c>
      <c r="K59">
        <v>3.7</v>
      </c>
      <c r="L59">
        <v>2.6</v>
      </c>
      <c r="M59">
        <v>3.7</v>
      </c>
      <c r="N59">
        <v>5</v>
      </c>
      <c r="O59">
        <v>6.3</v>
      </c>
      <c r="P59">
        <v>7.2</v>
      </c>
    </row>
    <row r="60" spans="9:16" x14ac:dyDescent="0.25">
      <c r="I60" t="s">
        <v>58</v>
      </c>
      <c r="J60" s="21">
        <f>J59*J58</f>
        <v>1.4300000000000002</v>
      </c>
      <c r="K60" s="21">
        <f t="shared" ref="K60:P60" si="4">K59*K58</f>
        <v>2.4050000000000002</v>
      </c>
      <c r="L60" s="21">
        <f t="shared" si="4"/>
        <v>1.6900000000000002</v>
      </c>
      <c r="M60" s="21">
        <f t="shared" si="4"/>
        <v>2.4050000000000002</v>
      </c>
      <c r="N60" s="21">
        <f t="shared" si="4"/>
        <v>3.25</v>
      </c>
      <c r="O60" s="21">
        <f t="shared" si="4"/>
        <v>4.0949999999999998</v>
      </c>
      <c r="P60" s="21">
        <f t="shared" si="4"/>
        <v>4.6800000000000006</v>
      </c>
    </row>
    <row r="62" spans="9:16" x14ac:dyDescent="0.25">
      <c r="I62" s="18" t="s">
        <v>53</v>
      </c>
    </row>
    <row r="63" spans="9:16" x14ac:dyDescent="0.25">
      <c r="K63" s="20" t="s">
        <v>51</v>
      </c>
      <c r="L63" s="18" t="s">
        <v>52</v>
      </c>
      <c r="M63" t="s">
        <v>55</v>
      </c>
      <c r="N63" t="s">
        <v>54</v>
      </c>
    </row>
    <row r="64" spans="9:16" x14ac:dyDescent="0.25">
      <c r="K64" s="18" t="s">
        <v>45</v>
      </c>
      <c r="L64">
        <v>2.6</v>
      </c>
      <c r="M64">
        <v>20.2</v>
      </c>
      <c r="N64" s="21">
        <f>M64/31</f>
        <v>0.65161290322580645</v>
      </c>
    </row>
    <row r="65" spans="11:14" x14ac:dyDescent="0.25">
      <c r="K65" s="19" t="s">
        <v>24</v>
      </c>
      <c r="L65" s="18">
        <v>3.7</v>
      </c>
      <c r="M65" s="18">
        <v>36</v>
      </c>
      <c r="N65" s="18">
        <f>M65/30</f>
        <v>1.2</v>
      </c>
    </row>
    <row r="66" spans="11:14" x14ac:dyDescent="0.25">
      <c r="K66" s="18" t="s">
        <v>25</v>
      </c>
      <c r="L66" s="18">
        <v>5</v>
      </c>
      <c r="M66" s="18">
        <v>69.7</v>
      </c>
      <c r="N66" s="21">
        <f t="shared" ref="N66:N68" si="5">M66/31</f>
        <v>2.2483870967741937</v>
      </c>
    </row>
    <row r="67" spans="11:14" x14ac:dyDescent="0.25">
      <c r="K67" s="19" t="s">
        <v>26</v>
      </c>
      <c r="L67" s="18">
        <v>6.3</v>
      </c>
      <c r="M67" s="18">
        <v>44.4</v>
      </c>
      <c r="N67" s="18">
        <f>M67/30</f>
        <v>1.48</v>
      </c>
    </row>
    <row r="68" spans="11:14" x14ac:dyDescent="0.25">
      <c r="K68" s="18" t="s">
        <v>27</v>
      </c>
      <c r="L68" s="18">
        <v>7.2</v>
      </c>
      <c r="M68" s="18">
        <v>26.7</v>
      </c>
      <c r="N68" s="21">
        <f t="shared" si="5"/>
        <v>0.86129032258064508</v>
      </c>
    </row>
    <row r="69" spans="11:14" x14ac:dyDescent="0.25">
      <c r="K69" s="19" t="s">
        <v>28</v>
      </c>
      <c r="L69" s="18">
        <v>6.6</v>
      </c>
      <c r="M69" s="18">
        <v>37.799999999999997</v>
      </c>
      <c r="N69" s="21">
        <f>M69/31</f>
        <v>1.2193548387096773</v>
      </c>
    </row>
    <row r="70" spans="11:14" x14ac:dyDescent="0.25">
      <c r="K70" s="18" t="s">
        <v>29</v>
      </c>
      <c r="L70" s="18">
        <v>4.5999999999999996</v>
      </c>
      <c r="M70" s="18">
        <v>66.599999999999994</v>
      </c>
      <c r="N70" s="18">
        <f>M70/30</f>
        <v>2.2199999999999998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fabregas</dc:creator>
  <cp:lastModifiedBy>fabregas</cp:lastModifiedBy>
  <dcterms:created xsi:type="dcterms:W3CDTF">2021-08-13T16:03:11Z</dcterms:created>
  <dcterms:modified xsi:type="dcterms:W3CDTF">2022-06-10T10:58:22Z</dcterms:modified>
</cp:coreProperties>
</file>